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 tabRatio="882" firstSheet="3" activeTab="12"/>
  </bookViews>
  <sheets>
    <sheet name="El Cap Fun" sheetId="21" r:id="rId1"/>
    <sheet name="Otay 1" sheetId="1" r:id="rId2"/>
    <sheet name="Otay 2" sheetId="9" r:id="rId3"/>
    <sheet name="San V Night" sheetId="10" r:id="rId4"/>
    <sheet name="Otay N" sheetId="11" r:id="rId5"/>
    <sheet name="Lake Hodges" sheetId="24" r:id="rId6"/>
    <sheet name="El Cap" sheetId="12" r:id="rId7"/>
    <sheet name="LCR" sheetId="28" r:id="rId8"/>
    <sheet name="El Cap 2" sheetId="8" r:id="rId9"/>
    <sheet name="Otay 3" sheetId="30" r:id="rId10"/>
    <sheet name="Otay 4" sheetId="14" r:id="rId11"/>
    <sheet name="TOC" sheetId="20" r:id="rId12"/>
    <sheet name="YTD" sheetId="5" r:id="rId13"/>
    <sheet name="Names" sheetId="6" state="hidden" r:id="rId14"/>
    <sheet name="Sheet1" sheetId="22" state="hidden" r:id="rId15"/>
    <sheet name="Big Fish" sheetId="23" r:id="rId16"/>
    <sheet name="NameVal" sheetId="29" r:id="rId17"/>
    <sheet name="Single Day Template" sheetId="26" r:id="rId18"/>
    <sheet name="Two Day Template" sheetId="27" r:id="rId19"/>
  </sheets>
  <definedNames>
    <definedName name="_xlnm._FilterDatabase" localSheetId="7" hidden="1">LCR!$A$2:$P$4</definedName>
    <definedName name="_xlnm._FilterDatabase" localSheetId="18" hidden="1">'Two Day Template'!$A$2:$P$4</definedName>
    <definedName name="_xlnm.Print_Area" localSheetId="8">'El Cap 2'!$A$1:$H$34</definedName>
    <definedName name="_xlnm.Print_Area" localSheetId="0">'El Cap Fun'!$B$1:$E$23</definedName>
    <definedName name="_xlnm.Print_Area" localSheetId="5">'Lake Hodges'!$A$1:$H$41</definedName>
    <definedName name="_xlnm.Print_Area" localSheetId="7">LCR!$A$1:$P$59</definedName>
    <definedName name="_xlnm.Print_Area" localSheetId="13">Names!#REF!</definedName>
    <definedName name="_xlnm.Print_Area" localSheetId="1">'Otay 1'!$A$1:$H$62</definedName>
    <definedName name="_xlnm.Print_Area" localSheetId="2">'Otay 2'!$A$1:$H$61</definedName>
    <definedName name="_xlnm.Print_Area" localSheetId="9">'Otay 3'!$A$1:$H$60</definedName>
    <definedName name="_xlnm.Print_Area" localSheetId="10">'Otay 4'!$A$1:$H$60</definedName>
    <definedName name="_xlnm.Print_Area" localSheetId="4">'Otay N'!$A$1:$H$60</definedName>
    <definedName name="_xlnm.Print_Area" localSheetId="3">'San V Night'!$A$1:$H$36</definedName>
    <definedName name="_xlnm.Print_Area" localSheetId="17">'Single Day Template'!$A$1:$H$60</definedName>
    <definedName name="_xlnm.Print_Area" localSheetId="18">'Two Day Template'!$A$1:$P$60</definedName>
    <definedName name="_xlnm.Print_Area" localSheetId="12">YTD!$A$1:$N$90</definedName>
  </definedNames>
  <calcPr calcId="145621"/>
</workbook>
</file>

<file path=xl/calcChain.xml><?xml version="1.0" encoding="utf-8"?>
<calcChain xmlns="http://schemas.openxmlformats.org/spreadsheetml/2006/main">
  <c r="G54" i="11" l="1"/>
  <c r="H54" i="11"/>
  <c r="C43" i="5" l="1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B76" i="23"/>
  <c r="B77" i="23"/>
  <c r="B29" i="23"/>
  <c r="C76" i="23"/>
  <c r="C77" i="23"/>
  <c r="C29" i="23"/>
  <c r="D76" i="23"/>
  <c r="D77" i="23"/>
  <c r="D29" i="23"/>
  <c r="E76" i="23"/>
  <c r="E77" i="23"/>
  <c r="E29" i="23"/>
  <c r="F76" i="23"/>
  <c r="F77" i="23"/>
  <c r="F29" i="23"/>
  <c r="G76" i="23"/>
  <c r="G77" i="23"/>
  <c r="G29" i="23"/>
  <c r="H76" i="23"/>
  <c r="H77" i="23"/>
  <c r="H29" i="23"/>
  <c r="I76" i="23"/>
  <c r="I77" i="23"/>
  <c r="I29" i="23"/>
  <c r="J76" i="23"/>
  <c r="J77" i="23"/>
  <c r="J29" i="23"/>
  <c r="K76" i="23"/>
  <c r="K77" i="23"/>
  <c r="K29" i="23"/>
  <c r="H40" i="23"/>
  <c r="H41" i="23"/>
  <c r="H5" i="23"/>
  <c r="H42" i="23"/>
  <c r="H13" i="23"/>
  <c r="H24" i="23"/>
  <c r="H43" i="23"/>
  <c r="H31" i="23"/>
  <c r="H44" i="23"/>
  <c r="H45" i="23"/>
  <c r="H25" i="23"/>
  <c r="H46" i="23"/>
  <c r="H18" i="23"/>
  <c r="H47" i="23"/>
  <c r="H48" i="23"/>
  <c r="H49" i="23"/>
  <c r="H12" i="23"/>
  <c r="H39" i="23"/>
  <c r="H50" i="23"/>
  <c r="H16" i="23"/>
  <c r="H23" i="23"/>
  <c r="H36" i="23"/>
  <c r="H51" i="23"/>
  <c r="H52" i="23"/>
  <c r="H53" i="23"/>
  <c r="H19" i="23"/>
  <c r="H54" i="23"/>
  <c r="H6" i="23"/>
  <c r="H20" i="23"/>
  <c r="H55" i="23"/>
  <c r="H56" i="23"/>
  <c r="H2" i="23"/>
  <c r="H57" i="23"/>
  <c r="H37" i="23"/>
  <c r="H17" i="23"/>
  <c r="H8" i="23"/>
  <c r="H58" i="23"/>
  <c r="H59" i="23"/>
  <c r="H60" i="23"/>
  <c r="H61" i="23"/>
  <c r="H9" i="23"/>
  <c r="H28" i="23"/>
  <c r="H10" i="23"/>
  <c r="H62" i="23"/>
  <c r="H14" i="23"/>
  <c r="H33" i="23"/>
  <c r="H63" i="23"/>
  <c r="H64" i="23"/>
  <c r="H22" i="23"/>
  <c r="H65" i="23"/>
  <c r="H66" i="23"/>
  <c r="H67" i="23"/>
  <c r="H68" i="23"/>
  <c r="H69" i="23"/>
  <c r="H26" i="23"/>
  <c r="H4" i="23"/>
  <c r="H70" i="23"/>
  <c r="H34" i="23"/>
  <c r="H38" i="23"/>
  <c r="H71" i="23"/>
  <c r="H72" i="23"/>
  <c r="H73" i="23"/>
  <c r="H74" i="23"/>
  <c r="H27" i="23"/>
  <c r="H11" i="23"/>
  <c r="H35" i="23"/>
  <c r="H75" i="23"/>
  <c r="H7" i="23"/>
  <c r="H30" i="23"/>
  <c r="H3" i="23"/>
  <c r="H21" i="23"/>
  <c r="H32" i="23"/>
  <c r="H15" i="23"/>
  <c r="E40" i="23"/>
  <c r="E41" i="23"/>
  <c r="E5" i="23"/>
  <c r="E42" i="23"/>
  <c r="E13" i="23"/>
  <c r="E24" i="23"/>
  <c r="E43" i="23"/>
  <c r="E31" i="23"/>
  <c r="E44" i="23"/>
  <c r="E45" i="23"/>
  <c r="E25" i="23"/>
  <c r="E46" i="23"/>
  <c r="E18" i="23"/>
  <c r="E47" i="23"/>
  <c r="E48" i="23"/>
  <c r="E49" i="23"/>
  <c r="E12" i="23"/>
  <c r="E39" i="23"/>
  <c r="E50" i="23"/>
  <c r="E16" i="23"/>
  <c r="E23" i="23"/>
  <c r="E36" i="23"/>
  <c r="E51" i="23"/>
  <c r="E52" i="23"/>
  <c r="E53" i="23"/>
  <c r="E19" i="23"/>
  <c r="E54" i="23"/>
  <c r="E6" i="23"/>
  <c r="E20" i="23"/>
  <c r="E55" i="23"/>
  <c r="E56" i="23"/>
  <c r="E2" i="23"/>
  <c r="E57" i="23"/>
  <c r="E37" i="23"/>
  <c r="E17" i="23"/>
  <c r="E8" i="23"/>
  <c r="E58" i="23"/>
  <c r="E59" i="23"/>
  <c r="E60" i="23"/>
  <c r="E61" i="23"/>
  <c r="E9" i="23"/>
  <c r="E28" i="23"/>
  <c r="E10" i="23"/>
  <c r="E62" i="23"/>
  <c r="E14" i="23"/>
  <c r="E33" i="23"/>
  <c r="E63" i="23"/>
  <c r="E64" i="23"/>
  <c r="E22" i="23"/>
  <c r="E65" i="23"/>
  <c r="E66" i="23"/>
  <c r="E67" i="23"/>
  <c r="E68" i="23"/>
  <c r="E69" i="23"/>
  <c r="E26" i="23"/>
  <c r="E4" i="23"/>
  <c r="E70" i="23"/>
  <c r="E34" i="23"/>
  <c r="E38" i="23"/>
  <c r="E71" i="23"/>
  <c r="E72" i="23"/>
  <c r="E73" i="23"/>
  <c r="E74" i="23"/>
  <c r="E27" i="23"/>
  <c r="E11" i="23"/>
  <c r="E35" i="23"/>
  <c r="E75" i="23"/>
  <c r="E7" i="23"/>
  <c r="E30" i="23"/>
  <c r="E3" i="23"/>
  <c r="E21" i="23"/>
  <c r="E32" i="23"/>
  <c r="E15" i="23"/>
  <c r="L29" i="23" l="1"/>
  <c r="C40" i="5" s="1"/>
  <c r="L76" i="23"/>
  <c r="C42" i="5" s="1"/>
  <c r="L77" i="23"/>
  <c r="C41" i="5" s="1"/>
  <c r="D42" i="5"/>
  <c r="E42" i="5"/>
  <c r="F42" i="5"/>
  <c r="G42" i="5"/>
  <c r="H42" i="5"/>
  <c r="I42" i="5"/>
  <c r="J42" i="5"/>
  <c r="K42" i="5"/>
  <c r="L42" i="5"/>
  <c r="M42" i="5"/>
  <c r="D41" i="5"/>
  <c r="E41" i="5"/>
  <c r="F41" i="5"/>
  <c r="G41" i="5"/>
  <c r="H41" i="5"/>
  <c r="I41" i="5"/>
  <c r="J41" i="5"/>
  <c r="K41" i="5"/>
  <c r="L41" i="5"/>
  <c r="M41" i="5"/>
  <c r="D40" i="5"/>
  <c r="E40" i="5"/>
  <c r="F40" i="5"/>
  <c r="G40" i="5"/>
  <c r="H40" i="5"/>
  <c r="I40" i="5"/>
  <c r="J40" i="5"/>
  <c r="K40" i="5"/>
  <c r="L40" i="5"/>
  <c r="M40" i="5"/>
  <c r="D43" i="5"/>
  <c r="E43" i="5"/>
  <c r="F43" i="5"/>
  <c r="G43" i="5"/>
  <c r="H43" i="5"/>
  <c r="I43" i="5"/>
  <c r="J43" i="5"/>
  <c r="K43" i="5"/>
  <c r="L43" i="5"/>
  <c r="M43" i="5"/>
  <c r="D44" i="5"/>
  <c r="E44" i="5"/>
  <c r="F44" i="5"/>
  <c r="G44" i="5"/>
  <c r="H44" i="5"/>
  <c r="I44" i="5"/>
  <c r="J44" i="5"/>
  <c r="K44" i="5"/>
  <c r="L44" i="5"/>
  <c r="M44" i="5"/>
  <c r="D45" i="5"/>
  <c r="E45" i="5"/>
  <c r="F45" i="5"/>
  <c r="G45" i="5"/>
  <c r="H45" i="5"/>
  <c r="I45" i="5"/>
  <c r="J45" i="5"/>
  <c r="K45" i="5"/>
  <c r="L45" i="5"/>
  <c r="M45" i="5"/>
  <c r="D46" i="5"/>
  <c r="E46" i="5"/>
  <c r="F46" i="5"/>
  <c r="G46" i="5"/>
  <c r="H46" i="5"/>
  <c r="I46" i="5"/>
  <c r="J46" i="5"/>
  <c r="K46" i="5"/>
  <c r="L46" i="5"/>
  <c r="M46" i="5"/>
  <c r="D47" i="5"/>
  <c r="E47" i="5"/>
  <c r="F47" i="5"/>
  <c r="G47" i="5"/>
  <c r="H47" i="5"/>
  <c r="I47" i="5"/>
  <c r="J47" i="5"/>
  <c r="K47" i="5"/>
  <c r="L47" i="5"/>
  <c r="M47" i="5"/>
  <c r="D48" i="5"/>
  <c r="E48" i="5"/>
  <c r="F48" i="5"/>
  <c r="G48" i="5"/>
  <c r="H48" i="5"/>
  <c r="I48" i="5"/>
  <c r="J48" i="5"/>
  <c r="K48" i="5"/>
  <c r="L48" i="5"/>
  <c r="M48" i="5"/>
  <c r="D49" i="5"/>
  <c r="E49" i="5"/>
  <c r="F49" i="5"/>
  <c r="G49" i="5"/>
  <c r="H49" i="5"/>
  <c r="I49" i="5"/>
  <c r="J49" i="5"/>
  <c r="K49" i="5"/>
  <c r="L49" i="5"/>
  <c r="M49" i="5"/>
  <c r="D50" i="5"/>
  <c r="E50" i="5"/>
  <c r="F50" i="5"/>
  <c r="G50" i="5"/>
  <c r="H50" i="5"/>
  <c r="I50" i="5"/>
  <c r="J50" i="5"/>
  <c r="K50" i="5"/>
  <c r="L50" i="5"/>
  <c r="M50" i="5"/>
  <c r="D51" i="5"/>
  <c r="E51" i="5"/>
  <c r="F51" i="5"/>
  <c r="G51" i="5"/>
  <c r="H51" i="5"/>
  <c r="I51" i="5"/>
  <c r="J51" i="5"/>
  <c r="K51" i="5"/>
  <c r="L51" i="5"/>
  <c r="M51" i="5"/>
  <c r="D52" i="5"/>
  <c r="E52" i="5"/>
  <c r="F52" i="5"/>
  <c r="G52" i="5"/>
  <c r="H52" i="5"/>
  <c r="I52" i="5"/>
  <c r="J52" i="5"/>
  <c r="K52" i="5"/>
  <c r="L52" i="5"/>
  <c r="M52" i="5"/>
  <c r="D53" i="5"/>
  <c r="E53" i="5"/>
  <c r="F53" i="5"/>
  <c r="G53" i="5"/>
  <c r="H53" i="5"/>
  <c r="I53" i="5"/>
  <c r="J53" i="5"/>
  <c r="K53" i="5"/>
  <c r="L53" i="5"/>
  <c r="M53" i="5"/>
  <c r="D54" i="5"/>
  <c r="E54" i="5"/>
  <c r="F54" i="5"/>
  <c r="G54" i="5"/>
  <c r="H54" i="5"/>
  <c r="I54" i="5"/>
  <c r="J54" i="5"/>
  <c r="K54" i="5"/>
  <c r="L54" i="5"/>
  <c r="M54" i="5"/>
  <c r="D55" i="5"/>
  <c r="E55" i="5"/>
  <c r="F55" i="5"/>
  <c r="G55" i="5"/>
  <c r="H55" i="5"/>
  <c r="I55" i="5"/>
  <c r="J55" i="5"/>
  <c r="K55" i="5"/>
  <c r="L55" i="5"/>
  <c r="M55" i="5"/>
  <c r="D56" i="5"/>
  <c r="E56" i="5"/>
  <c r="F56" i="5"/>
  <c r="G56" i="5"/>
  <c r="H56" i="5"/>
  <c r="I56" i="5"/>
  <c r="J56" i="5"/>
  <c r="K56" i="5"/>
  <c r="L56" i="5"/>
  <c r="M56" i="5"/>
  <c r="D57" i="5"/>
  <c r="E57" i="5"/>
  <c r="F57" i="5"/>
  <c r="G57" i="5"/>
  <c r="H57" i="5"/>
  <c r="I57" i="5"/>
  <c r="J57" i="5"/>
  <c r="K57" i="5"/>
  <c r="L57" i="5"/>
  <c r="M57" i="5"/>
  <c r="D58" i="5"/>
  <c r="E58" i="5"/>
  <c r="F58" i="5"/>
  <c r="G58" i="5"/>
  <c r="H58" i="5"/>
  <c r="I58" i="5"/>
  <c r="J58" i="5"/>
  <c r="K58" i="5"/>
  <c r="L58" i="5"/>
  <c r="M58" i="5"/>
  <c r="D59" i="5"/>
  <c r="E59" i="5"/>
  <c r="F59" i="5"/>
  <c r="G59" i="5"/>
  <c r="H59" i="5"/>
  <c r="I59" i="5"/>
  <c r="J59" i="5"/>
  <c r="K59" i="5"/>
  <c r="L59" i="5"/>
  <c r="M59" i="5"/>
  <c r="D60" i="5"/>
  <c r="E60" i="5"/>
  <c r="F60" i="5"/>
  <c r="G60" i="5"/>
  <c r="H60" i="5"/>
  <c r="I60" i="5"/>
  <c r="J60" i="5"/>
  <c r="K60" i="5"/>
  <c r="L60" i="5"/>
  <c r="M60" i="5"/>
  <c r="D61" i="5"/>
  <c r="E61" i="5"/>
  <c r="F61" i="5"/>
  <c r="G61" i="5"/>
  <c r="H61" i="5"/>
  <c r="I61" i="5"/>
  <c r="J61" i="5"/>
  <c r="K61" i="5"/>
  <c r="L61" i="5"/>
  <c r="M61" i="5"/>
  <c r="D62" i="5"/>
  <c r="E62" i="5"/>
  <c r="F62" i="5"/>
  <c r="G62" i="5"/>
  <c r="H62" i="5"/>
  <c r="I62" i="5"/>
  <c r="J62" i="5"/>
  <c r="K62" i="5"/>
  <c r="L62" i="5"/>
  <c r="M62" i="5"/>
  <c r="D63" i="5"/>
  <c r="E63" i="5"/>
  <c r="F63" i="5"/>
  <c r="G63" i="5"/>
  <c r="H63" i="5"/>
  <c r="I63" i="5"/>
  <c r="J63" i="5"/>
  <c r="K63" i="5"/>
  <c r="L63" i="5"/>
  <c r="M63" i="5"/>
  <c r="D64" i="5"/>
  <c r="E64" i="5"/>
  <c r="F64" i="5"/>
  <c r="G64" i="5"/>
  <c r="H64" i="5"/>
  <c r="I64" i="5"/>
  <c r="J64" i="5"/>
  <c r="K64" i="5"/>
  <c r="L64" i="5"/>
  <c r="M64" i="5"/>
  <c r="D65" i="5"/>
  <c r="E65" i="5"/>
  <c r="F65" i="5"/>
  <c r="G65" i="5"/>
  <c r="H65" i="5"/>
  <c r="I65" i="5"/>
  <c r="J65" i="5"/>
  <c r="K65" i="5"/>
  <c r="L65" i="5"/>
  <c r="M65" i="5"/>
  <c r="D66" i="5"/>
  <c r="E66" i="5"/>
  <c r="F66" i="5"/>
  <c r="G66" i="5"/>
  <c r="H66" i="5"/>
  <c r="I66" i="5"/>
  <c r="J66" i="5"/>
  <c r="K66" i="5"/>
  <c r="L66" i="5"/>
  <c r="M66" i="5"/>
  <c r="D67" i="5"/>
  <c r="E67" i="5"/>
  <c r="F67" i="5"/>
  <c r="G67" i="5"/>
  <c r="H67" i="5"/>
  <c r="I67" i="5"/>
  <c r="J67" i="5"/>
  <c r="K67" i="5"/>
  <c r="L67" i="5"/>
  <c r="M67" i="5"/>
  <c r="D68" i="5"/>
  <c r="E68" i="5"/>
  <c r="F68" i="5"/>
  <c r="G68" i="5"/>
  <c r="H68" i="5"/>
  <c r="I68" i="5"/>
  <c r="J68" i="5"/>
  <c r="K68" i="5"/>
  <c r="L68" i="5"/>
  <c r="M68" i="5"/>
  <c r="D69" i="5"/>
  <c r="E69" i="5"/>
  <c r="F69" i="5"/>
  <c r="G69" i="5"/>
  <c r="H69" i="5"/>
  <c r="I69" i="5"/>
  <c r="J69" i="5"/>
  <c r="K69" i="5"/>
  <c r="L69" i="5"/>
  <c r="M69" i="5"/>
  <c r="D70" i="5"/>
  <c r="E70" i="5"/>
  <c r="F70" i="5"/>
  <c r="G70" i="5"/>
  <c r="H70" i="5"/>
  <c r="I70" i="5"/>
  <c r="J70" i="5"/>
  <c r="K70" i="5"/>
  <c r="L70" i="5"/>
  <c r="M70" i="5"/>
  <c r="D71" i="5"/>
  <c r="E71" i="5"/>
  <c r="F71" i="5"/>
  <c r="G71" i="5"/>
  <c r="H71" i="5"/>
  <c r="I71" i="5"/>
  <c r="J71" i="5"/>
  <c r="K71" i="5"/>
  <c r="L71" i="5"/>
  <c r="M71" i="5"/>
  <c r="D72" i="5"/>
  <c r="E72" i="5"/>
  <c r="F72" i="5"/>
  <c r="G72" i="5"/>
  <c r="H72" i="5"/>
  <c r="I72" i="5"/>
  <c r="J72" i="5"/>
  <c r="K72" i="5"/>
  <c r="L72" i="5"/>
  <c r="M72" i="5"/>
  <c r="D73" i="5"/>
  <c r="E73" i="5"/>
  <c r="F73" i="5"/>
  <c r="G73" i="5"/>
  <c r="H73" i="5"/>
  <c r="I73" i="5"/>
  <c r="J73" i="5"/>
  <c r="K73" i="5"/>
  <c r="L73" i="5"/>
  <c r="M73" i="5"/>
  <c r="I4" i="5"/>
  <c r="J4" i="5"/>
  <c r="K4" i="5"/>
  <c r="L4" i="5"/>
  <c r="M4" i="5"/>
  <c r="I14" i="5"/>
  <c r="J14" i="5"/>
  <c r="K14" i="5"/>
  <c r="L14" i="5"/>
  <c r="M14" i="5"/>
  <c r="I17" i="5"/>
  <c r="J17" i="5"/>
  <c r="K17" i="5"/>
  <c r="L17" i="5"/>
  <c r="M17" i="5"/>
  <c r="I18" i="5"/>
  <c r="J18" i="5"/>
  <c r="K18" i="5"/>
  <c r="L18" i="5"/>
  <c r="M18" i="5"/>
  <c r="I13" i="5"/>
  <c r="J13" i="5"/>
  <c r="K13" i="5"/>
  <c r="L13" i="5"/>
  <c r="M13" i="5"/>
  <c r="I6" i="5"/>
  <c r="J6" i="5"/>
  <c r="K6" i="5"/>
  <c r="L6" i="5"/>
  <c r="M6" i="5"/>
  <c r="I11" i="5"/>
  <c r="J11" i="5"/>
  <c r="K11" i="5"/>
  <c r="L11" i="5"/>
  <c r="M11" i="5"/>
  <c r="I5" i="5"/>
  <c r="J5" i="5"/>
  <c r="K5" i="5"/>
  <c r="L5" i="5"/>
  <c r="M5" i="5"/>
  <c r="I19" i="5"/>
  <c r="J19" i="5"/>
  <c r="K19" i="5"/>
  <c r="L19" i="5"/>
  <c r="M19" i="5"/>
  <c r="I20" i="5"/>
  <c r="J20" i="5"/>
  <c r="K20" i="5"/>
  <c r="L20" i="5"/>
  <c r="M20" i="5"/>
  <c r="I7" i="5"/>
  <c r="J7" i="5"/>
  <c r="K7" i="5"/>
  <c r="L7" i="5"/>
  <c r="M7" i="5"/>
  <c r="E9" i="5"/>
  <c r="I9" i="5"/>
  <c r="J9" i="5"/>
  <c r="K9" i="5"/>
  <c r="L9" i="5"/>
  <c r="M9" i="5"/>
  <c r="I8" i="5"/>
  <c r="J8" i="5"/>
  <c r="K8" i="5"/>
  <c r="L8" i="5"/>
  <c r="M8" i="5"/>
  <c r="I16" i="5"/>
  <c r="J16" i="5"/>
  <c r="K16" i="5"/>
  <c r="L16" i="5"/>
  <c r="M16" i="5"/>
  <c r="D12" i="5"/>
  <c r="I12" i="5"/>
  <c r="J12" i="5"/>
  <c r="K12" i="5"/>
  <c r="L12" i="5"/>
  <c r="M12" i="5"/>
  <c r="D21" i="5"/>
  <c r="I21" i="5"/>
  <c r="J21" i="5"/>
  <c r="K21" i="5"/>
  <c r="L21" i="5"/>
  <c r="M21" i="5"/>
  <c r="D27" i="5"/>
  <c r="G27" i="5"/>
  <c r="I27" i="5"/>
  <c r="J27" i="5"/>
  <c r="K27" i="5"/>
  <c r="L27" i="5"/>
  <c r="M27" i="5"/>
  <c r="D15" i="5"/>
  <c r="I15" i="5"/>
  <c r="J15" i="5"/>
  <c r="K15" i="5"/>
  <c r="L15" i="5"/>
  <c r="M15" i="5"/>
  <c r="F29" i="5"/>
  <c r="G29" i="5"/>
  <c r="I29" i="5"/>
  <c r="J29" i="5"/>
  <c r="K29" i="5"/>
  <c r="L29" i="5"/>
  <c r="M29" i="5"/>
  <c r="I26" i="5"/>
  <c r="J26" i="5"/>
  <c r="K26" i="5"/>
  <c r="L26" i="5"/>
  <c r="M26" i="5"/>
  <c r="F22" i="5"/>
  <c r="G22" i="5"/>
  <c r="I22" i="5"/>
  <c r="J22" i="5"/>
  <c r="K22" i="5"/>
  <c r="L22" i="5"/>
  <c r="M22" i="5"/>
  <c r="D24" i="5"/>
  <c r="E24" i="5"/>
  <c r="G24" i="5"/>
  <c r="I24" i="5"/>
  <c r="J24" i="5"/>
  <c r="K24" i="5"/>
  <c r="L24" i="5"/>
  <c r="M24" i="5"/>
  <c r="D34" i="5"/>
  <c r="G34" i="5"/>
  <c r="I34" i="5"/>
  <c r="J34" i="5"/>
  <c r="K34" i="5"/>
  <c r="L34" i="5"/>
  <c r="M34" i="5"/>
  <c r="D30" i="5"/>
  <c r="H30" i="5"/>
  <c r="I30" i="5"/>
  <c r="J30" i="5"/>
  <c r="K30" i="5"/>
  <c r="L30" i="5"/>
  <c r="M30" i="5"/>
  <c r="E35" i="5"/>
  <c r="F35" i="5"/>
  <c r="G35" i="5"/>
  <c r="H35" i="5"/>
  <c r="I35" i="5"/>
  <c r="J35" i="5"/>
  <c r="K35" i="5"/>
  <c r="L35" i="5"/>
  <c r="M35" i="5"/>
  <c r="E33" i="5"/>
  <c r="I33" i="5"/>
  <c r="J33" i="5"/>
  <c r="K33" i="5"/>
  <c r="L33" i="5"/>
  <c r="M33" i="5"/>
  <c r="D28" i="5"/>
  <c r="I28" i="5"/>
  <c r="J28" i="5"/>
  <c r="K28" i="5"/>
  <c r="L28" i="5"/>
  <c r="M28" i="5"/>
  <c r="D23" i="5"/>
  <c r="F23" i="5"/>
  <c r="I23" i="5"/>
  <c r="J23" i="5"/>
  <c r="K23" i="5"/>
  <c r="L23" i="5"/>
  <c r="M23" i="5"/>
  <c r="D25" i="5"/>
  <c r="E25" i="5"/>
  <c r="I25" i="5"/>
  <c r="J25" i="5"/>
  <c r="K25" i="5"/>
  <c r="L25" i="5"/>
  <c r="M25" i="5"/>
  <c r="E32" i="5"/>
  <c r="F32" i="5"/>
  <c r="G32" i="5"/>
  <c r="I32" i="5"/>
  <c r="J32" i="5"/>
  <c r="K32" i="5"/>
  <c r="L32" i="5"/>
  <c r="M32" i="5"/>
  <c r="E31" i="5"/>
  <c r="I31" i="5"/>
  <c r="J31" i="5"/>
  <c r="K31" i="5"/>
  <c r="L31" i="5"/>
  <c r="M31" i="5"/>
  <c r="D36" i="5"/>
  <c r="E36" i="5"/>
  <c r="F36" i="5"/>
  <c r="G36" i="5"/>
  <c r="H36" i="5"/>
  <c r="I36" i="5"/>
  <c r="J36" i="5"/>
  <c r="K36" i="5"/>
  <c r="L36" i="5"/>
  <c r="M36" i="5"/>
  <c r="D37" i="5"/>
  <c r="E37" i="5"/>
  <c r="F37" i="5"/>
  <c r="G37" i="5"/>
  <c r="H37" i="5"/>
  <c r="I37" i="5"/>
  <c r="J37" i="5"/>
  <c r="K37" i="5"/>
  <c r="L37" i="5"/>
  <c r="M37" i="5"/>
  <c r="D38" i="5"/>
  <c r="E38" i="5"/>
  <c r="F38" i="5"/>
  <c r="G38" i="5"/>
  <c r="H38" i="5"/>
  <c r="I38" i="5"/>
  <c r="J38" i="5"/>
  <c r="K38" i="5"/>
  <c r="L38" i="5"/>
  <c r="M38" i="5"/>
  <c r="D39" i="5"/>
  <c r="E39" i="5"/>
  <c r="F39" i="5"/>
  <c r="G39" i="5"/>
  <c r="H39" i="5"/>
  <c r="I39" i="5"/>
  <c r="J39" i="5"/>
  <c r="K39" i="5"/>
  <c r="L39" i="5"/>
  <c r="M39" i="5"/>
  <c r="B41" i="23"/>
  <c r="C41" i="23"/>
  <c r="D41" i="23"/>
  <c r="F41" i="23"/>
  <c r="G41" i="23"/>
  <c r="I41" i="23"/>
  <c r="J41" i="23"/>
  <c r="K41" i="23"/>
  <c r="B5" i="23"/>
  <c r="C5" i="23"/>
  <c r="D5" i="23"/>
  <c r="F5" i="23"/>
  <c r="G5" i="23"/>
  <c r="I5" i="23"/>
  <c r="J5" i="23"/>
  <c r="K5" i="23"/>
  <c r="B42" i="23"/>
  <c r="C42" i="23"/>
  <c r="D42" i="23"/>
  <c r="F42" i="23"/>
  <c r="G42" i="23"/>
  <c r="I42" i="23"/>
  <c r="J42" i="23"/>
  <c r="K42" i="23"/>
  <c r="B13" i="23"/>
  <c r="C13" i="23"/>
  <c r="D13" i="23"/>
  <c r="F13" i="23"/>
  <c r="G13" i="23"/>
  <c r="I13" i="23"/>
  <c r="J13" i="23"/>
  <c r="K13" i="23"/>
  <c r="B24" i="23"/>
  <c r="C24" i="23"/>
  <c r="D24" i="23"/>
  <c r="F24" i="23"/>
  <c r="G24" i="23"/>
  <c r="I24" i="23"/>
  <c r="J24" i="23"/>
  <c r="K24" i="23"/>
  <c r="B43" i="23"/>
  <c r="C43" i="23"/>
  <c r="D43" i="23"/>
  <c r="F43" i="23"/>
  <c r="G43" i="23"/>
  <c r="I43" i="23"/>
  <c r="J43" i="23"/>
  <c r="K43" i="23"/>
  <c r="B31" i="23"/>
  <c r="C31" i="23"/>
  <c r="D31" i="23"/>
  <c r="F31" i="23"/>
  <c r="G31" i="23"/>
  <c r="I31" i="23"/>
  <c r="J31" i="23"/>
  <c r="K31" i="23"/>
  <c r="B44" i="23"/>
  <c r="C44" i="23"/>
  <c r="D44" i="23"/>
  <c r="F44" i="23"/>
  <c r="G44" i="23"/>
  <c r="I44" i="23"/>
  <c r="J44" i="23"/>
  <c r="K44" i="23"/>
  <c r="B45" i="23"/>
  <c r="C45" i="23"/>
  <c r="D45" i="23"/>
  <c r="F45" i="23"/>
  <c r="G45" i="23"/>
  <c r="I45" i="23"/>
  <c r="J45" i="23"/>
  <c r="K45" i="23"/>
  <c r="B25" i="23"/>
  <c r="C25" i="23"/>
  <c r="D25" i="23"/>
  <c r="F25" i="23"/>
  <c r="G25" i="23"/>
  <c r="I25" i="23"/>
  <c r="J25" i="23"/>
  <c r="K25" i="23"/>
  <c r="B46" i="23"/>
  <c r="C46" i="23"/>
  <c r="D46" i="23"/>
  <c r="F46" i="23"/>
  <c r="G46" i="23"/>
  <c r="I46" i="23"/>
  <c r="J46" i="23"/>
  <c r="K46" i="23"/>
  <c r="B18" i="23"/>
  <c r="C18" i="23"/>
  <c r="D18" i="23"/>
  <c r="F18" i="23"/>
  <c r="G18" i="23"/>
  <c r="I18" i="23"/>
  <c r="J18" i="23"/>
  <c r="K18" i="23"/>
  <c r="B47" i="23"/>
  <c r="C47" i="23"/>
  <c r="D47" i="23"/>
  <c r="F47" i="23"/>
  <c r="G47" i="23"/>
  <c r="I47" i="23"/>
  <c r="J47" i="23"/>
  <c r="K47" i="23"/>
  <c r="B48" i="23"/>
  <c r="C48" i="23"/>
  <c r="D48" i="23"/>
  <c r="F48" i="23"/>
  <c r="G48" i="23"/>
  <c r="I48" i="23"/>
  <c r="J48" i="23"/>
  <c r="K48" i="23"/>
  <c r="B49" i="23"/>
  <c r="C49" i="23"/>
  <c r="D49" i="23"/>
  <c r="F49" i="23"/>
  <c r="G49" i="23"/>
  <c r="I49" i="23"/>
  <c r="J49" i="23"/>
  <c r="K49" i="23"/>
  <c r="B12" i="23"/>
  <c r="C12" i="23"/>
  <c r="D12" i="23"/>
  <c r="F12" i="23"/>
  <c r="G12" i="23"/>
  <c r="I12" i="23"/>
  <c r="J12" i="23"/>
  <c r="K12" i="23"/>
  <c r="B39" i="23"/>
  <c r="C39" i="23"/>
  <c r="D39" i="23"/>
  <c r="F39" i="23"/>
  <c r="G39" i="23"/>
  <c r="I39" i="23"/>
  <c r="J39" i="23"/>
  <c r="K39" i="23"/>
  <c r="B50" i="23"/>
  <c r="C50" i="23"/>
  <c r="D50" i="23"/>
  <c r="F50" i="23"/>
  <c r="G50" i="23"/>
  <c r="I50" i="23"/>
  <c r="J50" i="23"/>
  <c r="K50" i="23"/>
  <c r="B16" i="23"/>
  <c r="C16" i="23"/>
  <c r="D16" i="23"/>
  <c r="F16" i="23"/>
  <c r="G16" i="23"/>
  <c r="I16" i="23"/>
  <c r="J16" i="23"/>
  <c r="K16" i="23"/>
  <c r="B23" i="23"/>
  <c r="C23" i="23"/>
  <c r="D23" i="23"/>
  <c r="F23" i="23"/>
  <c r="G23" i="23"/>
  <c r="I23" i="23"/>
  <c r="J23" i="23"/>
  <c r="K23" i="23"/>
  <c r="B36" i="23"/>
  <c r="C36" i="23"/>
  <c r="D36" i="23"/>
  <c r="F36" i="23"/>
  <c r="G36" i="23"/>
  <c r="I36" i="23"/>
  <c r="J36" i="23"/>
  <c r="K36" i="23"/>
  <c r="B51" i="23"/>
  <c r="C51" i="23"/>
  <c r="D51" i="23"/>
  <c r="F51" i="23"/>
  <c r="G51" i="23"/>
  <c r="I51" i="23"/>
  <c r="J51" i="23"/>
  <c r="K51" i="23"/>
  <c r="B52" i="23"/>
  <c r="C52" i="23"/>
  <c r="D52" i="23"/>
  <c r="F52" i="23"/>
  <c r="G52" i="23"/>
  <c r="I52" i="23"/>
  <c r="J52" i="23"/>
  <c r="K52" i="23"/>
  <c r="B53" i="23"/>
  <c r="C53" i="23"/>
  <c r="D53" i="23"/>
  <c r="F53" i="23"/>
  <c r="G53" i="23"/>
  <c r="I53" i="23"/>
  <c r="J53" i="23"/>
  <c r="K53" i="23"/>
  <c r="B19" i="23"/>
  <c r="C19" i="23"/>
  <c r="D19" i="23"/>
  <c r="F19" i="23"/>
  <c r="G19" i="23"/>
  <c r="I19" i="23"/>
  <c r="J19" i="23"/>
  <c r="K19" i="23"/>
  <c r="B54" i="23"/>
  <c r="C54" i="23"/>
  <c r="D54" i="23"/>
  <c r="F54" i="23"/>
  <c r="G54" i="23"/>
  <c r="I54" i="23"/>
  <c r="J54" i="23"/>
  <c r="K54" i="23"/>
  <c r="B6" i="23"/>
  <c r="C6" i="23"/>
  <c r="D6" i="23"/>
  <c r="F6" i="23"/>
  <c r="G6" i="23"/>
  <c r="I6" i="23"/>
  <c r="J6" i="23"/>
  <c r="K6" i="23"/>
  <c r="B20" i="23"/>
  <c r="C20" i="23"/>
  <c r="D20" i="23"/>
  <c r="F20" i="23"/>
  <c r="G20" i="23"/>
  <c r="I20" i="23"/>
  <c r="J20" i="23"/>
  <c r="K20" i="23"/>
  <c r="B55" i="23"/>
  <c r="C55" i="23"/>
  <c r="D55" i="23"/>
  <c r="F55" i="23"/>
  <c r="G55" i="23"/>
  <c r="I55" i="23"/>
  <c r="J55" i="23"/>
  <c r="K55" i="23"/>
  <c r="B56" i="23"/>
  <c r="C56" i="23"/>
  <c r="D56" i="23"/>
  <c r="F56" i="23"/>
  <c r="G56" i="23"/>
  <c r="I56" i="23"/>
  <c r="J56" i="23"/>
  <c r="K56" i="23"/>
  <c r="B2" i="23"/>
  <c r="C2" i="23"/>
  <c r="D2" i="23"/>
  <c r="F2" i="23"/>
  <c r="G2" i="23"/>
  <c r="I2" i="23"/>
  <c r="J2" i="23"/>
  <c r="K2" i="23"/>
  <c r="B57" i="23"/>
  <c r="C57" i="23"/>
  <c r="D57" i="23"/>
  <c r="F57" i="23"/>
  <c r="G57" i="23"/>
  <c r="I57" i="23"/>
  <c r="J57" i="23"/>
  <c r="K57" i="23"/>
  <c r="B37" i="23"/>
  <c r="C37" i="23"/>
  <c r="D37" i="23"/>
  <c r="F37" i="23"/>
  <c r="G37" i="23"/>
  <c r="I37" i="23"/>
  <c r="J37" i="23"/>
  <c r="K37" i="23"/>
  <c r="B17" i="23"/>
  <c r="C17" i="23"/>
  <c r="D17" i="23"/>
  <c r="F17" i="23"/>
  <c r="G17" i="23"/>
  <c r="I17" i="23"/>
  <c r="J17" i="23"/>
  <c r="K17" i="23"/>
  <c r="B8" i="23"/>
  <c r="C8" i="23"/>
  <c r="D8" i="23"/>
  <c r="F8" i="23"/>
  <c r="G8" i="23"/>
  <c r="I8" i="23"/>
  <c r="J8" i="23"/>
  <c r="K8" i="23"/>
  <c r="B58" i="23"/>
  <c r="C58" i="23"/>
  <c r="D58" i="23"/>
  <c r="F58" i="23"/>
  <c r="G58" i="23"/>
  <c r="I58" i="23"/>
  <c r="J58" i="23"/>
  <c r="K58" i="23"/>
  <c r="B59" i="23"/>
  <c r="C59" i="23"/>
  <c r="D59" i="23"/>
  <c r="F59" i="23"/>
  <c r="G59" i="23"/>
  <c r="I59" i="23"/>
  <c r="J59" i="23"/>
  <c r="K59" i="23"/>
  <c r="B60" i="23"/>
  <c r="C60" i="23"/>
  <c r="D60" i="23"/>
  <c r="F60" i="23"/>
  <c r="G60" i="23"/>
  <c r="I60" i="23"/>
  <c r="J60" i="23"/>
  <c r="K60" i="23"/>
  <c r="B61" i="23"/>
  <c r="C61" i="23"/>
  <c r="D61" i="23"/>
  <c r="F61" i="23"/>
  <c r="G61" i="23"/>
  <c r="I61" i="23"/>
  <c r="J61" i="23"/>
  <c r="K61" i="23"/>
  <c r="B9" i="23"/>
  <c r="C9" i="23"/>
  <c r="D9" i="23"/>
  <c r="F9" i="23"/>
  <c r="G9" i="23"/>
  <c r="I9" i="23"/>
  <c r="J9" i="23"/>
  <c r="K9" i="23"/>
  <c r="B28" i="23"/>
  <c r="C28" i="23"/>
  <c r="D28" i="23"/>
  <c r="F28" i="23"/>
  <c r="G28" i="23"/>
  <c r="I28" i="23"/>
  <c r="J28" i="23"/>
  <c r="K28" i="23"/>
  <c r="B10" i="23"/>
  <c r="C10" i="23"/>
  <c r="D10" i="23"/>
  <c r="F10" i="23"/>
  <c r="G10" i="23"/>
  <c r="I10" i="23"/>
  <c r="J10" i="23"/>
  <c r="K10" i="23"/>
  <c r="B62" i="23"/>
  <c r="C62" i="23"/>
  <c r="D62" i="23"/>
  <c r="F62" i="23"/>
  <c r="G62" i="23"/>
  <c r="I62" i="23"/>
  <c r="J62" i="23"/>
  <c r="K62" i="23"/>
  <c r="B14" i="23"/>
  <c r="C14" i="23"/>
  <c r="D14" i="23"/>
  <c r="F14" i="23"/>
  <c r="G14" i="23"/>
  <c r="I14" i="23"/>
  <c r="J14" i="23"/>
  <c r="K14" i="23"/>
  <c r="B33" i="23"/>
  <c r="C33" i="23"/>
  <c r="D33" i="23"/>
  <c r="F33" i="23"/>
  <c r="G33" i="23"/>
  <c r="I33" i="23"/>
  <c r="J33" i="23"/>
  <c r="K33" i="23"/>
  <c r="B63" i="23"/>
  <c r="C63" i="23"/>
  <c r="D63" i="23"/>
  <c r="F63" i="23"/>
  <c r="G63" i="23"/>
  <c r="I63" i="23"/>
  <c r="J63" i="23"/>
  <c r="K63" i="23"/>
  <c r="B64" i="23"/>
  <c r="C64" i="23"/>
  <c r="D64" i="23"/>
  <c r="F64" i="23"/>
  <c r="G64" i="23"/>
  <c r="I64" i="23"/>
  <c r="J64" i="23"/>
  <c r="K64" i="23"/>
  <c r="B22" i="23"/>
  <c r="C22" i="23"/>
  <c r="D22" i="23"/>
  <c r="F22" i="23"/>
  <c r="G22" i="23"/>
  <c r="I22" i="23"/>
  <c r="J22" i="23"/>
  <c r="K22" i="23"/>
  <c r="B65" i="23"/>
  <c r="C65" i="23"/>
  <c r="D65" i="23"/>
  <c r="F65" i="23"/>
  <c r="G65" i="23"/>
  <c r="I65" i="23"/>
  <c r="J65" i="23"/>
  <c r="K65" i="23"/>
  <c r="B66" i="23"/>
  <c r="C66" i="23"/>
  <c r="D66" i="23"/>
  <c r="F66" i="23"/>
  <c r="G66" i="23"/>
  <c r="I66" i="23"/>
  <c r="J66" i="23"/>
  <c r="K66" i="23"/>
  <c r="B67" i="23"/>
  <c r="C67" i="23"/>
  <c r="D67" i="23"/>
  <c r="F67" i="23"/>
  <c r="G67" i="23"/>
  <c r="I67" i="23"/>
  <c r="J67" i="23"/>
  <c r="K67" i="23"/>
  <c r="B68" i="23"/>
  <c r="C68" i="23"/>
  <c r="D68" i="23"/>
  <c r="F68" i="23"/>
  <c r="G68" i="23"/>
  <c r="I68" i="23"/>
  <c r="J68" i="23"/>
  <c r="K68" i="23"/>
  <c r="B69" i="23"/>
  <c r="C69" i="23"/>
  <c r="D69" i="23"/>
  <c r="F69" i="23"/>
  <c r="G69" i="23"/>
  <c r="I69" i="23"/>
  <c r="J69" i="23"/>
  <c r="K69" i="23"/>
  <c r="B26" i="23"/>
  <c r="C26" i="23"/>
  <c r="D26" i="23"/>
  <c r="F26" i="23"/>
  <c r="G26" i="23"/>
  <c r="I26" i="23"/>
  <c r="J26" i="23"/>
  <c r="K26" i="23"/>
  <c r="B4" i="23"/>
  <c r="C4" i="23"/>
  <c r="D4" i="23"/>
  <c r="F4" i="23"/>
  <c r="G4" i="23"/>
  <c r="I4" i="23"/>
  <c r="J4" i="23"/>
  <c r="K4" i="23"/>
  <c r="B70" i="23"/>
  <c r="C70" i="23"/>
  <c r="D70" i="23"/>
  <c r="F70" i="23"/>
  <c r="G70" i="23"/>
  <c r="I70" i="23"/>
  <c r="J70" i="23"/>
  <c r="K70" i="23"/>
  <c r="B34" i="23"/>
  <c r="C34" i="23"/>
  <c r="D34" i="23"/>
  <c r="F34" i="23"/>
  <c r="G34" i="23"/>
  <c r="I34" i="23"/>
  <c r="J34" i="23"/>
  <c r="K34" i="23"/>
  <c r="B38" i="23"/>
  <c r="C38" i="23"/>
  <c r="D38" i="23"/>
  <c r="F38" i="23"/>
  <c r="G38" i="23"/>
  <c r="I38" i="23"/>
  <c r="J38" i="23"/>
  <c r="K38" i="23"/>
  <c r="B71" i="23"/>
  <c r="C71" i="23"/>
  <c r="D71" i="23"/>
  <c r="F71" i="23"/>
  <c r="G71" i="23"/>
  <c r="I71" i="23"/>
  <c r="J71" i="23"/>
  <c r="K71" i="23"/>
  <c r="B72" i="23"/>
  <c r="C72" i="23"/>
  <c r="D72" i="23"/>
  <c r="F72" i="23"/>
  <c r="G72" i="23"/>
  <c r="I72" i="23"/>
  <c r="J72" i="23"/>
  <c r="K72" i="23"/>
  <c r="B73" i="23"/>
  <c r="C73" i="23"/>
  <c r="D73" i="23"/>
  <c r="F73" i="23"/>
  <c r="G73" i="23"/>
  <c r="I73" i="23"/>
  <c r="J73" i="23"/>
  <c r="K73" i="23"/>
  <c r="B74" i="23"/>
  <c r="C74" i="23"/>
  <c r="D74" i="23"/>
  <c r="F74" i="23"/>
  <c r="G74" i="23"/>
  <c r="I74" i="23"/>
  <c r="J74" i="23"/>
  <c r="K74" i="23"/>
  <c r="B27" i="23"/>
  <c r="C27" i="23"/>
  <c r="D27" i="23"/>
  <c r="F27" i="23"/>
  <c r="G27" i="23"/>
  <c r="I27" i="23"/>
  <c r="J27" i="23"/>
  <c r="K27" i="23"/>
  <c r="B11" i="23"/>
  <c r="C11" i="23"/>
  <c r="D11" i="23"/>
  <c r="F11" i="23"/>
  <c r="G11" i="23"/>
  <c r="I11" i="23"/>
  <c r="J11" i="23"/>
  <c r="K11" i="23"/>
  <c r="B35" i="23"/>
  <c r="C35" i="23"/>
  <c r="D35" i="23"/>
  <c r="F35" i="23"/>
  <c r="G35" i="23"/>
  <c r="I35" i="23"/>
  <c r="J35" i="23"/>
  <c r="K35" i="23"/>
  <c r="B75" i="23"/>
  <c r="C75" i="23"/>
  <c r="D75" i="23"/>
  <c r="F75" i="23"/>
  <c r="G75" i="23"/>
  <c r="I75" i="23"/>
  <c r="J75" i="23"/>
  <c r="K75" i="23"/>
  <c r="B7" i="23"/>
  <c r="C7" i="23"/>
  <c r="D7" i="23"/>
  <c r="F7" i="23"/>
  <c r="G7" i="23"/>
  <c r="I7" i="23"/>
  <c r="J7" i="23"/>
  <c r="K7" i="23"/>
  <c r="B30" i="23"/>
  <c r="C30" i="23"/>
  <c r="D30" i="23"/>
  <c r="F30" i="23"/>
  <c r="G30" i="23"/>
  <c r="I30" i="23"/>
  <c r="J30" i="23"/>
  <c r="K30" i="23"/>
  <c r="B3" i="23"/>
  <c r="C3" i="23"/>
  <c r="D3" i="23"/>
  <c r="F3" i="23"/>
  <c r="G3" i="23"/>
  <c r="I3" i="23"/>
  <c r="J3" i="23"/>
  <c r="K3" i="23"/>
  <c r="B21" i="23"/>
  <c r="C21" i="23"/>
  <c r="D21" i="23"/>
  <c r="F21" i="23"/>
  <c r="G21" i="23"/>
  <c r="I21" i="23"/>
  <c r="J21" i="23"/>
  <c r="K21" i="23"/>
  <c r="B32" i="23"/>
  <c r="C32" i="23"/>
  <c r="D32" i="23"/>
  <c r="F32" i="23"/>
  <c r="G32" i="23"/>
  <c r="I32" i="23"/>
  <c r="J32" i="23"/>
  <c r="K32" i="23"/>
  <c r="B15" i="23"/>
  <c r="C15" i="23"/>
  <c r="D15" i="23"/>
  <c r="F15" i="23"/>
  <c r="G15" i="23"/>
  <c r="I15" i="23"/>
  <c r="J15" i="23"/>
  <c r="K15" i="23"/>
  <c r="J40" i="23"/>
  <c r="I40" i="23"/>
  <c r="G40" i="23"/>
  <c r="D40" i="23"/>
  <c r="L10" i="5"/>
  <c r="K10" i="5"/>
  <c r="J10" i="5"/>
  <c r="I10" i="5"/>
  <c r="B13" i="20"/>
  <c r="B12" i="20"/>
  <c r="B11" i="20"/>
  <c r="B10" i="20"/>
  <c r="B8" i="20"/>
  <c r="C58" i="30"/>
  <c r="C57" i="30"/>
  <c r="L76" i="5" s="1"/>
  <c r="C56" i="30"/>
  <c r="H53" i="30"/>
  <c r="G53" i="30"/>
  <c r="H52" i="30"/>
  <c r="G52" i="30"/>
  <c r="H51" i="30"/>
  <c r="G51" i="30"/>
  <c r="H50" i="30"/>
  <c r="G50" i="30"/>
  <c r="H49" i="30"/>
  <c r="G49" i="30"/>
  <c r="H48" i="30"/>
  <c r="G48" i="30"/>
  <c r="H47" i="30"/>
  <c r="G47" i="30"/>
  <c r="H46" i="30"/>
  <c r="G46" i="30"/>
  <c r="H45" i="30"/>
  <c r="G45" i="30"/>
  <c r="H44" i="30"/>
  <c r="G44" i="30"/>
  <c r="H43" i="30"/>
  <c r="G43" i="30"/>
  <c r="H42" i="30"/>
  <c r="G42" i="30"/>
  <c r="H41" i="30"/>
  <c r="G41" i="30"/>
  <c r="H40" i="30"/>
  <c r="G40" i="30"/>
  <c r="H39" i="30"/>
  <c r="G39" i="30"/>
  <c r="H38" i="30"/>
  <c r="G38" i="30"/>
  <c r="H37" i="30"/>
  <c r="G37" i="30"/>
  <c r="H36" i="30"/>
  <c r="G36" i="30"/>
  <c r="H35" i="30"/>
  <c r="G35" i="30"/>
  <c r="H34" i="30"/>
  <c r="G34" i="30"/>
  <c r="H33" i="30"/>
  <c r="G33" i="30"/>
  <c r="H32" i="30"/>
  <c r="G32" i="30"/>
  <c r="H31" i="30"/>
  <c r="G31" i="30"/>
  <c r="H30" i="30"/>
  <c r="G30" i="30"/>
  <c r="H29" i="30"/>
  <c r="G29" i="30"/>
  <c r="H28" i="30"/>
  <c r="G28" i="30"/>
  <c r="H27" i="30"/>
  <c r="G27" i="30"/>
  <c r="H26" i="30"/>
  <c r="G26" i="30"/>
  <c r="H25" i="30"/>
  <c r="G25" i="30"/>
  <c r="H24" i="30"/>
  <c r="G24" i="30"/>
  <c r="H23" i="30"/>
  <c r="G23" i="30"/>
  <c r="H22" i="30"/>
  <c r="G22" i="30"/>
  <c r="H21" i="30"/>
  <c r="G21" i="30"/>
  <c r="H20" i="30"/>
  <c r="G20" i="30"/>
  <c r="H19" i="30"/>
  <c r="G19" i="30"/>
  <c r="H18" i="30"/>
  <c r="G18" i="30"/>
  <c r="H17" i="30"/>
  <c r="G17" i="30"/>
  <c r="H16" i="30"/>
  <c r="G16" i="30"/>
  <c r="H15" i="30"/>
  <c r="G15" i="30"/>
  <c r="H14" i="30"/>
  <c r="G14" i="30"/>
  <c r="H13" i="30"/>
  <c r="G13" i="30"/>
  <c r="H12" i="30"/>
  <c r="G12" i="30"/>
  <c r="H11" i="30"/>
  <c r="G11" i="30"/>
  <c r="H10" i="30"/>
  <c r="G10" i="30"/>
  <c r="H9" i="30"/>
  <c r="G9" i="30"/>
  <c r="H8" i="30"/>
  <c r="G8" i="30"/>
  <c r="H7" i="30"/>
  <c r="G7" i="30"/>
  <c r="H6" i="30"/>
  <c r="G6" i="30"/>
  <c r="H5" i="30"/>
  <c r="G5" i="30"/>
  <c r="H4" i="30"/>
  <c r="G4" i="30"/>
  <c r="C60" i="30" l="1"/>
  <c r="L79" i="5" s="1"/>
  <c r="L75" i="5"/>
  <c r="C59" i="30"/>
  <c r="L78" i="5" s="1"/>
  <c r="L77" i="5"/>
  <c r="C40" i="23"/>
  <c r="L15" i="23" l="1"/>
  <c r="C25" i="5" s="1"/>
  <c r="H22" i="9"/>
  <c r="E22" i="5" s="1"/>
  <c r="H23" i="9" l="1"/>
  <c r="L32" i="23"/>
  <c r="C37" i="5" s="1"/>
  <c r="L21" i="23"/>
  <c r="C18" i="5" s="1"/>
  <c r="H24" i="9" l="1"/>
  <c r="E30" i="5"/>
  <c r="N66" i="5"/>
  <c r="L26" i="23"/>
  <c r="C27" i="5" s="1"/>
  <c r="L3" i="23"/>
  <c r="C23" i="5" s="1"/>
  <c r="N70" i="5"/>
  <c r="N62" i="5"/>
  <c r="N58" i="5"/>
  <c r="N63" i="5"/>
  <c r="N65" i="5"/>
  <c r="N72" i="5"/>
  <c r="N60" i="5"/>
  <c r="N67" i="5"/>
  <c r="N61" i="5"/>
  <c r="N68" i="5"/>
  <c r="N71" i="5"/>
  <c r="N59" i="5"/>
  <c r="N69" i="5"/>
  <c r="N57" i="5"/>
  <c r="N64" i="5"/>
  <c r="N56" i="5"/>
  <c r="L30" i="23"/>
  <c r="C26" i="5" s="1"/>
  <c r="L75" i="23"/>
  <c r="L74" i="23"/>
  <c r="L38" i="23"/>
  <c r="C39" i="5" s="1"/>
  <c r="L66" i="23"/>
  <c r="L63" i="23"/>
  <c r="L10" i="23"/>
  <c r="C33" i="5" s="1"/>
  <c r="L7" i="23"/>
  <c r="C24" i="5" s="1"/>
  <c r="L27" i="23"/>
  <c r="C34" i="5" s="1"/>
  <c r="L71" i="23"/>
  <c r="L4" i="23"/>
  <c r="C10" i="5" s="1"/>
  <c r="L67" i="23"/>
  <c r="L64" i="23"/>
  <c r="L62" i="23"/>
  <c r="L35" i="23"/>
  <c r="L73" i="23"/>
  <c r="L34" i="23"/>
  <c r="C32" i="5" s="1"/>
  <c r="L69" i="23"/>
  <c r="L65" i="23"/>
  <c r="L33" i="23"/>
  <c r="C30" i="5" s="1"/>
  <c r="L28" i="23"/>
  <c r="C31" i="5" s="1"/>
  <c r="L11" i="23"/>
  <c r="C19" i="5" s="1"/>
  <c r="L72" i="23"/>
  <c r="L70" i="23"/>
  <c r="L68" i="23"/>
  <c r="L22" i="23"/>
  <c r="C20" i="5" s="1"/>
  <c r="L14" i="23"/>
  <c r="C21" i="5" s="1"/>
  <c r="K40" i="23"/>
  <c r="M10" i="5"/>
  <c r="H4" i="14"/>
  <c r="B14" i="20"/>
  <c r="B9" i="20"/>
  <c r="B7" i="20"/>
  <c r="B6" i="20"/>
  <c r="B5" i="20"/>
  <c r="C20" i="20"/>
  <c r="C21" i="20"/>
  <c r="G14" i="20"/>
  <c r="G13" i="20"/>
  <c r="G12" i="20"/>
  <c r="G11" i="20"/>
  <c r="G10" i="20"/>
  <c r="G9" i="20"/>
  <c r="G8" i="20"/>
  <c r="G7" i="20"/>
  <c r="G6" i="20"/>
  <c r="G5" i="20"/>
  <c r="H25" i="9" l="1"/>
  <c r="E16" i="5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L33" i="28"/>
  <c r="L34" i="28"/>
  <c r="L35" i="28"/>
  <c r="O35" i="28" s="1"/>
  <c r="L36" i="28"/>
  <c r="O36" i="28" s="1"/>
  <c r="L37" i="28"/>
  <c r="L38" i="28"/>
  <c r="L39" i="28"/>
  <c r="O39" i="28" s="1"/>
  <c r="L40" i="28"/>
  <c r="O40" i="28" s="1"/>
  <c r="L41" i="28"/>
  <c r="L42" i="28"/>
  <c r="L43" i="28"/>
  <c r="O43" i="28" s="1"/>
  <c r="L44" i="28"/>
  <c r="O44" i="28" s="1"/>
  <c r="L45" i="28"/>
  <c r="L46" i="28"/>
  <c r="L47" i="28"/>
  <c r="O47" i="28" s="1"/>
  <c r="L48" i="28"/>
  <c r="O48" i="28" s="1"/>
  <c r="L49" i="28"/>
  <c r="L50" i="28"/>
  <c r="L51" i="28"/>
  <c r="O51" i="28" s="1"/>
  <c r="L52" i="28"/>
  <c r="O52" i="28" s="1"/>
  <c r="L53" i="28"/>
  <c r="L54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N33" i="28"/>
  <c r="N34" i="28"/>
  <c r="N35" i="28"/>
  <c r="N36" i="28"/>
  <c r="P36" i="28" s="1"/>
  <c r="N37" i="28"/>
  <c r="N38" i="28"/>
  <c r="N39" i="28"/>
  <c r="N40" i="28"/>
  <c r="P40" i="28" s="1"/>
  <c r="N41" i="28"/>
  <c r="N42" i="28"/>
  <c r="N43" i="28"/>
  <c r="N44" i="28"/>
  <c r="P44" i="28" s="1"/>
  <c r="N45" i="28"/>
  <c r="N46" i="28"/>
  <c r="N47" i="28"/>
  <c r="N48" i="28"/>
  <c r="P48" i="28" s="1"/>
  <c r="N49" i="28"/>
  <c r="N50" i="28"/>
  <c r="N51" i="28"/>
  <c r="N52" i="28"/>
  <c r="P52" i="28" s="1"/>
  <c r="N53" i="28"/>
  <c r="N54" i="28"/>
  <c r="O33" i="28"/>
  <c r="O34" i="28"/>
  <c r="O37" i="28"/>
  <c r="O38" i="28"/>
  <c r="O41" i="28"/>
  <c r="O42" i="28"/>
  <c r="O45" i="28"/>
  <c r="O46" i="28"/>
  <c r="O49" i="28"/>
  <c r="O50" i="28"/>
  <c r="O53" i="28"/>
  <c r="O54" i="28"/>
  <c r="P33" i="28"/>
  <c r="P34" i="28"/>
  <c r="P35" i="28"/>
  <c r="P37" i="28"/>
  <c r="P38" i="28"/>
  <c r="P39" i="28"/>
  <c r="P41" i="28"/>
  <c r="P42" i="28"/>
  <c r="P43" i="28"/>
  <c r="P45" i="28"/>
  <c r="P46" i="28"/>
  <c r="P47" i="28"/>
  <c r="P49" i="28"/>
  <c r="P50" i="28"/>
  <c r="P51" i="28"/>
  <c r="P53" i="28"/>
  <c r="P54" i="28"/>
  <c r="H39" i="12"/>
  <c r="H47" i="12"/>
  <c r="G32" i="12"/>
  <c r="H32" i="12" s="1"/>
  <c r="G33" i="12"/>
  <c r="H33" i="12" s="1"/>
  <c r="G34" i="12"/>
  <c r="H34" i="12" s="1"/>
  <c r="G35" i="12"/>
  <c r="H35" i="12" s="1"/>
  <c r="G36" i="12"/>
  <c r="H36" i="12" s="1"/>
  <c r="G37" i="12"/>
  <c r="H37" i="12" s="1"/>
  <c r="G38" i="12"/>
  <c r="H38" i="12" s="1"/>
  <c r="G39" i="12"/>
  <c r="G40" i="12"/>
  <c r="H40" i="12" s="1"/>
  <c r="G41" i="12"/>
  <c r="H41" i="12" s="1"/>
  <c r="G42" i="12"/>
  <c r="H42" i="12" s="1"/>
  <c r="G43" i="12"/>
  <c r="H43" i="12" s="1"/>
  <c r="G44" i="12"/>
  <c r="H44" i="12" s="1"/>
  <c r="G45" i="12"/>
  <c r="H45" i="12" s="1"/>
  <c r="G46" i="12"/>
  <c r="H46" i="12" s="1"/>
  <c r="G47" i="12"/>
  <c r="G48" i="12"/>
  <c r="H48" i="12" s="1"/>
  <c r="G49" i="12"/>
  <c r="H49" i="12" s="1"/>
  <c r="G50" i="12"/>
  <c r="H50" i="12" s="1"/>
  <c r="G51" i="12"/>
  <c r="H51" i="12" s="1"/>
  <c r="G52" i="12"/>
  <c r="H52" i="12" s="1"/>
  <c r="G53" i="12"/>
  <c r="H53" i="12" s="1"/>
  <c r="H39" i="8"/>
  <c r="H46" i="8"/>
  <c r="H50" i="8"/>
  <c r="H51" i="8"/>
  <c r="G35" i="8"/>
  <c r="H35" i="8" s="1"/>
  <c r="G36" i="8"/>
  <c r="H36" i="8" s="1"/>
  <c r="G37" i="8"/>
  <c r="H37" i="8" s="1"/>
  <c r="G38" i="8"/>
  <c r="H38" i="8" s="1"/>
  <c r="G39" i="8"/>
  <c r="G40" i="8"/>
  <c r="H40" i="8" s="1"/>
  <c r="G41" i="8"/>
  <c r="H41" i="8" s="1"/>
  <c r="G42" i="8"/>
  <c r="H42" i="8" s="1"/>
  <c r="G43" i="8"/>
  <c r="H43" i="8" s="1"/>
  <c r="G44" i="8"/>
  <c r="H44" i="8" s="1"/>
  <c r="G45" i="8"/>
  <c r="H45" i="8" s="1"/>
  <c r="G46" i="8"/>
  <c r="G47" i="8"/>
  <c r="H47" i="8" s="1"/>
  <c r="G48" i="8"/>
  <c r="H48" i="8" s="1"/>
  <c r="G49" i="8"/>
  <c r="H49" i="8" s="1"/>
  <c r="G50" i="8"/>
  <c r="G51" i="8"/>
  <c r="G52" i="8"/>
  <c r="H52" i="8" s="1"/>
  <c r="G53" i="8"/>
  <c r="H53" i="8" s="1"/>
  <c r="G31" i="24"/>
  <c r="H31" i="24" s="1"/>
  <c r="H21" i="5" s="1"/>
  <c r="G32" i="24"/>
  <c r="H32" i="24" s="1"/>
  <c r="H28" i="5" s="1"/>
  <c r="G33" i="24"/>
  <c r="H33" i="24" s="1"/>
  <c r="H18" i="5" s="1"/>
  <c r="G34" i="24"/>
  <c r="H34" i="24" s="1"/>
  <c r="H6" i="9"/>
  <c r="E17" i="5" s="1"/>
  <c r="H7" i="9"/>
  <c r="E5" i="5" s="1"/>
  <c r="H8" i="9"/>
  <c r="E14" i="5" s="1"/>
  <c r="H9" i="9"/>
  <c r="E12" i="5" s="1"/>
  <c r="H10" i="9"/>
  <c r="E15" i="5" s="1"/>
  <c r="H11" i="9"/>
  <c r="E10" i="5" s="1"/>
  <c r="H12" i="9"/>
  <c r="E6" i="5" s="1"/>
  <c r="H13" i="9"/>
  <c r="E13" i="5" s="1"/>
  <c r="H14" i="9"/>
  <c r="E11" i="5" s="1"/>
  <c r="H15" i="9"/>
  <c r="E23" i="5" s="1"/>
  <c r="H16" i="9"/>
  <c r="E4" i="5" s="1"/>
  <c r="H17" i="9"/>
  <c r="E19" i="5" s="1"/>
  <c r="H18" i="9"/>
  <c r="E20" i="5" s="1"/>
  <c r="H19" i="9"/>
  <c r="E7" i="5" s="1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" i="9"/>
  <c r="E8" i="5" s="1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47" i="1"/>
  <c r="G48" i="1"/>
  <c r="G49" i="1"/>
  <c r="G50" i="1"/>
  <c r="G51" i="1"/>
  <c r="G52" i="1"/>
  <c r="G53" i="1"/>
  <c r="G54" i="1"/>
  <c r="H47" i="1"/>
  <c r="H48" i="1"/>
  <c r="H49" i="1"/>
  <c r="H50" i="1"/>
  <c r="H51" i="1"/>
  <c r="H52" i="1"/>
  <c r="H53" i="1"/>
  <c r="H54" i="1"/>
  <c r="G38" i="1"/>
  <c r="G39" i="1"/>
  <c r="G40" i="1"/>
  <c r="G41" i="1"/>
  <c r="G42" i="1"/>
  <c r="G43" i="1"/>
  <c r="G44" i="1"/>
  <c r="G45" i="1"/>
  <c r="G46" i="1"/>
  <c r="G55" i="1"/>
  <c r="H38" i="1"/>
  <c r="H39" i="1"/>
  <c r="H40" i="1"/>
  <c r="H41" i="1"/>
  <c r="H42" i="1"/>
  <c r="H43" i="1"/>
  <c r="H44" i="1"/>
  <c r="H45" i="1"/>
  <c r="H46" i="1"/>
  <c r="H55" i="1"/>
  <c r="H26" i="9" l="1"/>
  <c r="E29" i="5"/>
  <c r="C58" i="28"/>
  <c r="H27" i="9" l="1"/>
  <c r="E26" i="5"/>
  <c r="N5" i="28"/>
  <c r="P5" i="28" s="1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28" i="9" l="1"/>
  <c r="E18" i="5"/>
  <c r="N48" i="5"/>
  <c r="N49" i="5"/>
  <c r="N47" i="5"/>
  <c r="L57" i="23"/>
  <c r="L56" i="23"/>
  <c r="L60" i="23"/>
  <c r="L5" i="23"/>
  <c r="C5" i="5" s="1"/>
  <c r="H29" i="9" l="1"/>
  <c r="E21" i="5"/>
  <c r="L36" i="23"/>
  <c r="C22" i="5" s="1"/>
  <c r="H30" i="9" l="1"/>
  <c r="E28" i="5"/>
  <c r="N51" i="5"/>
  <c r="N50" i="5"/>
  <c r="N53" i="5"/>
  <c r="N52" i="5"/>
  <c r="H31" i="9" l="1"/>
  <c r="E34" i="5" s="1"/>
  <c r="E27" i="5"/>
  <c r="B40" i="23"/>
  <c r="F40" i="23"/>
  <c r="G6" i="1"/>
  <c r="H6" i="1"/>
  <c r="D17" i="5" s="1"/>
  <c r="G7" i="1"/>
  <c r="H7" i="1"/>
  <c r="D4" i="5" s="1"/>
  <c r="G8" i="1"/>
  <c r="H8" i="1"/>
  <c r="D13" i="5" s="1"/>
  <c r="G9" i="1"/>
  <c r="H9" i="1"/>
  <c r="D10" i="5" s="1"/>
  <c r="G10" i="1"/>
  <c r="H10" i="1"/>
  <c r="D29" i="5" s="1"/>
  <c r="G11" i="1"/>
  <c r="H11" i="1"/>
  <c r="D35" i="5" s="1"/>
  <c r="G12" i="1"/>
  <c r="H12" i="1"/>
  <c r="D9" i="5" s="1"/>
  <c r="G13" i="1"/>
  <c r="H13" i="1"/>
  <c r="D11" i="5" s="1"/>
  <c r="G14" i="1"/>
  <c r="H14" i="1"/>
  <c r="D14" i="5" s="1"/>
  <c r="G15" i="1"/>
  <c r="H15" i="1"/>
  <c r="D5" i="5" s="1"/>
  <c r="G16" i="1"/>
  <c r="H16" i="1"/>
  <c r="D16" i="5" s="1"/>
  <c r="G17" i="1"/>
  <c r="H17" i="1"/>
  <c r="D6" i="5" s="1"/>
  <c r="G18" i="1"/>
  <c r="H18" i="1"/>
  <c r="D32" i="5" s="1"/>
  <c r="G19" i="1"/>
  <c r="H19" i="1"/>
  <c r="D7" i="5" s="1"/>
  <c r="G20" i="1"/>
  <c r="H20" i="1"/>
  <c r="D22" i="5" s="1"/>
  <c r="G21" i="1"/>
  <c r="H21" i="1"/>
  <c r="D33" i="5" s="1"/>
  <c r="G22" i="1"/>
  <c r="H22" i="1"/>
  <c r="D31" i="5" s="1"/>
  <c r="G23" i="1"/>
  <c r="H23" i="1"/>
  <c r="D20" i="5" s="1"/>
  <c r="G24" i="1"/>
  <c r="H24" i="1"/>
  <c r="D26" i="5" s="1"/>
  <c r="G25" i="1"/>
  <c r="G26" i="1"/>
  <c r="G27" i="1"/>
  <c r="G28" i="1"/>
  <c r="G29" i="1"/>
  <c r="G30" i="1"/>
  <c r="G31" i="1"/>
  <c r="G32" i="1"/>
  <c r="G33" i="1"/>
  <c r="G34" i="1"/>
  <c r="H34" i="1"/>
  <c r="D8" i="5" s="1"/>
  <c r="G35" i="1"/>
  <c r="H35" i="1"/>
  <c r="G36" i="1"/>
  <c r="H36" i="1"/>
  <c r="G37" i="1"/>
  <c r="H37" i="1"/>
  <c r="G6" i="10"/>
  <c r="H6" i="10" s="1"/>
  <c r="F18" i="5" s="1"/>
  <c r="G7" i="10"/>
  <c r="H7" i="10" s="1"/>
  <c r="F21" i="5" s="1"/>
  <c r="G8" i="10"/>
  <c r="H8" i="10" s="1"/>
  <c r="G9" i="10"/>
  <c r="H9" i="10" s="1"/>
  <c r="F27" i="5" s="1"/>
  <c r="G10" i="10"/>
  <c r="H10" i="10" s="1"/>
  <c r="F20" i="5" s="1"/>
  <c r="G11" i="10"/>
  <c r="H11" i="10" s="1"/>
  <c r="F14" i="5" s="1"/>
  <c r="G12" i="10"/>
  <c r="H12" i="10" s="1"/>
  <c r="F6" i="5" s="1"/>
  <c r="G13" i="10"/>
  <c r="H13" i="10" s="1"/>
  <c r="F7" i="5" s="1"/>
  <c r="G14" i="10"/>
  <c r="H14" i="10" s="1"/>
  <c r="F11" i="5" s="1"/>
  <c r="G15" i="10"/>
  <c r="H15" i="10" s="1"/>
  <c r="F34" i="5" s="1"/>
  <c r="G16" i="10"/>
  <c r="H16" i="10" s="1"/>
  <c r="F13" i="5" s="1"/>
  <c r="G17" i="10"/>
  <c r="H17" i="10" s="1"/>
  <c r="F12" i="5" s="1"/>
  <c r="G18" i="10"/>
  <c r="H18" i="10" s="1"/>
  <c r="F25" i="5" s="1"/>
  <c r="G19" i="10"/>
  <c r="H19" i="10" s="1"/>
  <c r="F15" i="5" s="1"/>
  <c r="G20" i="10"/>
  <c r="H20" i="10" s="1"/>
  <c r="F8" i="5" s="1"/>
  <c r="G21" i="10"/>
  <c r="H21" i="10" s="1"/>
  <c r="F16" i="5" s="1"/>
  <c r="G22" i="10"/>
  <c r="H22" i="10" s="1"/>
  <c r="F9" i="5" s="1"/>
  <c r="G23" i="10"/>
  <c r="H23" i="10" s="1"/>
  <c r="F5" i="5" s="1"/>
  <c r="G24" i="10"/>
  <c r="H24" i="10" s="1"/>
  <c r="F17" i="5" s="1"/>
  <c r="G25" i="10"/>
  <c r="H25" i="10" s="1"/>
  <c r="F30" i="5" s="1"/>
  <c r="G26" i="10"/>
  <c r="H26" i="10" s="1"/>
  <c r="F19" i="5" s="1"/>
  <c r="G27" i="10"/>
  <c r="H27" i="10" s="1"/>
  <c r="F33" i="5" s="1"/>
  <c r="G28" i="10"/>
  <c r="H28" i="10" s="1"/>
  <c r="F26" i="5" s="1"/>
  <c r="G29" i="10"/>
  <c r="H29" i="10" s="1"/>
  <c r="F28" i="5" s="1"/>
  <c r="G30" i="10"/>
  <c r="H30" i="10" s="1"/>
  <c r="F31" i="5" s="1"/>
  <c r="G6" i="8"/>
  <c r="H6" i="8" s="1"/>
  <c r="G7" i="8"/>
  <c r="H7" i="8" s="1"/>
  <c r="G8" i="8"/>
  <c r="H8" i="8" s="1"/>
  <c r="G9" i="8"/>
  <c r="H9" i="8" s="1"/>
  <c r="G10" i="8"/>
  <c r="H10" i="8" s="1"/>
  <c r="G11" i="8"/>
  <c r="H11" i="8" s="1"/>
  <c r="G12" i="8"/>
  <c r="H12" i="8" s="1"/>
  <c r="G13" i="8"/>
  <c r="H13" i="8" s="1"/>
  <c r="G14" i="8"/>
  <c r="H14" i="8" s="1"/>
  <c r="G15" i="8"/>
  <c r="H15" i="8" s="1"/>
  <c r="G16" i="8"/>
  <c r="H16" i="8" s="1"/>
  <c r="G17" i="8"/>
  <c r="H17" i="8" s="1"/>
  <c r="G18" i="8"/>
  <c r="H18" i="8" s="1"/>
  <c r="G19" i="8"/>
  <c r="H19" i="8" s="1"/>
  <c r="G20" i="8"/>
  <c r="H20" i="8" s="1"/>
  <c r="G21" i="8"/>
  <c r="H21" i="8" s="1"/>
  <c r="G22" i="8"/>
  <c r="H22" i="8" s="1"/>
  <c r="G23" i="8"/>
  <c r="H23" i="8" s="1"/>
  <c r="G24" i="8"/>
  <c r="H24" i="8" s="1"/>
  <c r="G25" i="8"/>
  <c r="H25" i="8" s="1"/>
  <c r="G26" i="8"/>
  <c r="H26" i="8" s="1"/>
  <c r="G27" i="8"/>
  <c r="H27" i="8" s="1"/>
  <c r="G28" i="8"/>
  <c r="H28" i="8" s="1"/>
  <c r="G29" i="8"/>
  <c r="H29" i="8" s="1"/>
  <c r="G30" i="8"/>
  <c r="H30" i="8" s="1"/>
  <c r="G31" i="8"/>
  <c r="H31" i="8" s="1"/>
  <c r="G32" i="8"/>
  <c r="H32" i="8" s="1"/>
  <c r="G33" i="8"/>
  <c r="H33" i="8" s="1"/>
  <c r="G34" i="8"/>
  <c r="H34" i="8" s="1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5" i="9"/>
  <c r="F24" i="5" l="1"/>
  <c r="N73" i="5"/>
  <c r="N55" i="5"/>
  <c r="N54" i="5"/>
  <c r="N43" i="5"/>
  <c r="P6" i="27" l="1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P24" i="27"/>
  <c r="P25" i="27"/>
  <c r="P26" i="27"/>
  <c r="P27" i="27"/>
  <c r="P28" i="27"/>
  <c r="P29" i="27"/>
  <c r="P30" i="27"/>
  <c r="P31" i="27"/>
  <c r="P32" i="27"/>
  <c r="P33" i="27"/>
  <c r="P34" i="27"/>
  <c r="P35" i="27"/>
  <c r="P36" i="27"/>
  <c r="P37" i="27"/>
  <c r="P38" i="27"/>
  <c r="P39" i="27"/>
  <c r="P40" i="27"/>
  <c r="P41" i="27"/>
  <c r="P42" i="27"/>
  <c r="P43" i="27"/>
  <c r="P44" i="27"/>
  <c r="P45" i="27"/>
  <c r="P46" i="27"/>
  <c r="P47" i="27"/>
  <c r="P48" i="27"/>
  <c r="P49" i="27"/>
  <c r="P50" i="27"/>
  <c r="P51" i="27"/>
  <c r="P52" i="27"/>
  <c r="P53" i="27"/>
  <c r="P54" i="27"/>
  <c r="P55" i="27"/>
  <c r="N39" i="5"/>
  <c r="H59" i="28"/>
  <c r="C59" i="28"/>
  <c r="C39" i="24"/>
  <c r="H77" i="5" s="1"/>
  <c r="C38" i="24"/>
  <c r="C37" i="24"/>
  <c r="H75" i="5" s="1"/>
  <c r="C56" i="26"/>
  <c r="C34" i="10"/>
  <c r="F77" i="5" s="1"/>
  <c r="C33" i="10"/>
  <c r="F76" i="5" s="1"/>
  <c r="C32" i="10"/>
  <c r="F75" i="5" s="1"/>
  <c r="C59" i="9"/>
  <c r="C58" i="9"/>
  <c r="E76" i="5" s="1"/>
  <c r="C57" i="9"/>
  <c r="E75" i="5" s="1"/>
  <c r="C60" i="1"/>
  <c r="C59" i="1"/>
  <c r="C58" i="1"/>
  <c r="H58" i="28"/>
  <c r="C60" i="28"/>
  <c r="H57" i="28"/>
  <c r="C57" i="28"/>
  <c r="N32" i="28"/>
  <c r="P32" i="28" s="1"/>
  <c r="M32" i="28"/>
  <c r="L32" i="28"/>
  <c r="G32" i="28"/>
  <c r="N31" i="28"/>
  <c r="P31" i="28" s="1"/>
  <c r="M31" i="28"/>
  <c r="L31" i="28"/>
  <c r="G31" i="28"/>
  <c r="N25" i="28"/>
  <c r="P25" i="28" s="1"/>
  <c r="M25" i="28"/>
  <c r="L25" i="28"/>
  <c r="G25" i="28"/>
  <c r="N26" i="28"/>
  <c r="P26" i="28" s="1"/>
  <c r="M26" i="28"/>
  <c r="L26" i="28"/>
  <c r="G26" i="28"/>
  <c r="N27" i="28"/>
  <c r="P27" i="28" s="1"/>
  <c r="M27" i="28"/>
  <c r="L27" i="28"/>
  <c r="G27" i="28"/>
  <c r="N22" i="28"/>
  <c r="P22" i="28" s="1"/>
  <c r="N41" i="5" s="1"/>
  <c r="M22" i="28"/>
  <c r="L22" i="28"/>
  <c r="G22" i="28"/>
  <c r="N24" i="28"/>
  <c r="P24" i="28" s="1"/>
  <c r="M24" i="28"/>
  <c r="L24" i="28"/>
  <c r="G24" i="28"/>
  <c r="N30" i="28"/>
  <c r="P30" i="28" s="1"/>
  <c r="M30" i="28"/>
  <c r="L30" i="28"/>
  <c r="G30" i="28"/>
  <c r="N18" i="28"/>
  <c r="P18" i="28" s="1"/>
  <c r="M18" i="28"/>
  <c r="L18" i="28"/>
  <c r="G18" i="28"/>
  <c r="N17" i="28"/>
  <c r="P17" i="28" s="1"/>
  <c r="M17" i="28"/>
  <c r="L17" i="28"/>
  <c r="G17" i="28"/>
  <c r="N29" i="28"/>
  <c r="P29" i="28" s="1"/>
  <c r="M29" i="28"/>
  <c r="L29" i="28"/>
  <c r="G29" i="28"/>
  <c r="N15" i="28"/>
  <c r="P15" i="28" s="1"/>
  <c r="M15" i="28"/>
  <c r="L15" i="28"/>
  <c r="G15" i="28"/>
  <c r="N21" i="28"/>
  <c r="P21" i="28" s="1"/>
  <c r="M21" i="28"/>
  <c r="L21" i="28"/>
  <c r="G21" i="28"/>
  <c r="N14" i="28"/>
  <c r="P14" i="28" s="1"/>
  <c r="M14" i="28"/>
  <c r="L14" i="28"/>
  <c r="G14" i="28"/>
  <c r="N10" i="28"/>
  <c r="P10" i="28" s="1"/>
  <c r="M10" i="28"/>
  <c r="L10" i="28"/>
  <c r="G10" i="28"/>
  <c r="N7" i="28"/>
  <c r="P7" i="28" s="1"/>
  <c r="M7" i="28"/>
  <c r="L7" i="28"/>
  <c r="G7" i="28"/>
  <c r="N16" i="28"/>
  <c r="P16" i="28" s="1"/>
  <c r="M16" i="28"/>
  <c r="L16" i="28"/>
  <c r="G16" i="28"/>
  <c r="N28" i="28"/>
  <c r="P28" i="28" s="1"/>
  <c r="M28" i="28"/>
  <c r="L28" i="28"/>
  <c r="G28" i="28"/>
  <c r="N20" i="28"/>
  <c r="P20" i="28" s="1"/>
  <c r="M20" i="28"/>
  <c r="L20" i="28"/>
  <c r="G20" i="28"/>
  <c r="N11" i="28"/>
  <c r="P11" i="28" s="1"/>
  <c r="M11" i="28"/>
  <c r="L11" i="28"/>
  <c r="G11" i="28"/>
  <c r="N23" i="28"/>
  <c r="P23" i="28" s="1"/>
  <c r="M23" i="28"/>
  <c r="L23" i="28"/>
  <c r="G23" i="28"/>
  <c r="N6" i="28"/>
  <c r="P6" i="28" s="1"/>
  <c r="M6" i="28"/>
  <c r="L6" i="28"/>
  <c r="G6" i="28"/>
  <c r="N12" i="28"/>
  <c r="P12" i="28" s="1"/>
  <c r="M12" i="28"/>
  <c r="L12" i="28"/>
  <c r="G12" i="28"/>
  <c r="N13" i="28"/>
  <c r="P13" i="28" s="1"/>
  <c r="M13" i="28"/>
  <c r="L13" i="28"/>
  <c r="G13" i="28"/>
  <c r="N9" i="28"/>
  <c r="P9" i="28" s="1"/>
  <c r="M9" i="28"/>
  <c r="L9" i="28"/>
  <c r="G9" i="28"/>
  <c r="N8" i="28"/>
  <c r="P8" i="28" s="1"/>
  <c r="M8" i="28"/>
  <c r="L8" i="28"/>
  <c r="G8" i="28"/>
  <c r="M5" i="28"/>
  <c r="L5" i="28"/>
  <c r="G5" i="28"/>
  <c r="N19" i="28"/>
  <c r="P19" i="28" s="1"/>
  <c r="M19" i="28"/>
  <c r="L19" i="28"/>
  <c r="G19" i="28"/>
  <c r="C58" i="14"/>
  <c r="M77" i="5" s="1"/>
  <c r="C57" i="14"/>
  <c r="M76" i="5" s="1"/>
  <c r="C56" i="14"/>
  <c r="M75" i="5" s="1"/>
  <c r="G5" i="14"/>
  <c r="G4" i="14"/>
  <c r="C57" i="12"/>
  <c r="I77" i="5" s="1"/>
  <c r="C56" i="12"/>
  <c r="I76" i="5" s="1"/>
  <c r="C55" i="12"/>
  <c r="I75" i="5" s="1"/>
  <c r="G31" i="12"/>
  <c r="H31" i="12" s="1"/>
  <c r="G30" i="12"/>
  <c r="H30" i="12" s="1"/>
  <c r="G29" i="12"/>
  <c r="H29" i="12" s="1"/>
  <c r="G28" i="12"/>
  <c r="H28" i="12" s="1"/>
  <c r="G27" i="12"/>
  <c r="H27" i="12" s="1"/>
  <c r="G26" i="12"/>
  <c r="H26" i="12" s="1"/>
  <c r="G25" i="12"/>
  <c r="H25" i="12" s="1"/>
  <c r="G24" i="12"/>
  <c r="H24" i="12" s="1"/>
  <c r="G23" i="12"/>
  <c r="H23" i="12" s="1"/>
  <c r="G22" i="12"/>
  <c r="H22" i="12" s="1"/>
  <c r="G21" i="12"/>
  <c r="H21" i="12" s="1"/>
  <c r="G20" i="12"/>
  <c r="H20" i="12" s="1"/>
  <c r="G19" i="12"/>
  <c r="H19" i="12" s="1"/>
  <c r="G18" i="12"/>
  <c r="H18" i="12" s="1"/>
  <c r="G17" i="12"/>
  <c r="H17" i="12" s="1"/>
  <c r="G16" i="12"/>
  <c r="H16" i="12" s="1"/>
  <c r="G15" i="12"/>
  <c r="H15" i="12" s="1"/>
  <c r="G14" i="12"/>
  <c r="H14" i="12" s="1"/>
  <c r="G13" i="12"/>
  <c r="H13" i="12" s="1"/>
  <c r="G12" i="12"/>
  <c r="H12" i="12" s="1"/>
  <c r="G11" i="12"/>
  <c r="H11" i="12" s="1"/>
  <c r="G10" i="12"/>
  <c r="H10" i="12" s="1"/>
  <c r="G9" i="12"/>
  <c r="H9" i="12" s="1"/>
  <c r="G8" i="12"/>
  <c r="H8" i="12" s="1"/>
  <c r="G7" i="12"/>
  <c r="H7" i="12" s="1"/>
  <c r="G6" i="12"/>
  <c r="H6" i="12" s="1"/>
  <c r="G5" i="12"/>
  <c r="H5" i="12" s="1"/>
  <c r="G4" i="12"/>
  <c r="H4" i="12" s="1"/>
  <c r="C58" i="8"/>
  <c r="K77" i="5" s="1"/>
  <c r="C57" i="8"/>
  <c r="K76" i="5" s="1"/>
  <c r="C56" i="8"/>
  <c r="K75" i="5" s="1"/>
  <c r="G5" i="8"/>
  <c r="H5" i="8" s="1"/>
  <c r="G4" i="8"/>
  <c r="H4" i="8" s="1"/>
  <c r="C58" i="26"/>
  <c r="C57" i="26"/>
  <c r="H53" i="26"/>
  <c r="G53" i="26"/>
  <c r="H52" i="26"/>
  <c r="G52" i="26"/>
  <c r="H51" i="26"/>
  <c r="G51" i="26"/>
  <c r="H50" i="26"/>
  <c r="G50" i="26"/>
  <c r="H49" i="26"/>
  <c r="G49" i="26"/>
  <c r="H48" i="26"/>
  <c r="G48" i="26"/>
  <c r="H47" i="26"/>
  <c r="G47" i="26"/>
  <c r="H46" i="26"/>
  <c r="G46" i="26"/>
  <c r="H45" i="26"/>
  <c r="G45" i="26"/>
  <c r="H44" i="26"/>
  <c r="G44" i="26"/>
  <c r="H43" i="26"/>
  <c r="G43" i="26"/>
  <c r="H42" i="26"/>
  <c r="G42" i="26"/>
  <c r="H41" i="26"/>
  <c r="G41" i="26"/>
  <c r="H40" i="26"/>
  <c r="G40" i="26"/>
  <c r="H39" i="26"/>
  <c r="G39" i="26"/>
  <c r="H38" i="26"/>
  <c r="G38" i="26"/>
  <c r="H37" i="26"/>
  <c r="G37" i="26"/>
  <c r="H36" i="26"/>
  <c r="G36" i="26"/>
  <c r="H35" i="26"/>
  <c r="G35" i="26"/>
  <c r="H34" i="26"/>
  <c r="G34" i="26"/>
  <c r="H33" i="26"/>
  <c r="G33" i="26"/>
  <c r="H32" i="26"/>
  <c r="G32" i="26"/>
  <c r="H31" i="26"/>
  <c r="G31" i="26"/>
  <c r="H30" i="26"/>
  <c r="G30" i="26"/>
  <c r="H29" i="26"/>
  <c r="G29" i="26"/>
  <c r="H28" i="26"/>
  <c r="G28" i="26"/>
  <c r="H27" i="26"/>
  <c r="G27" i="26"/>
  <c r="H26" i="26"/>
  <c r="G26" i="26"/>
  <c r="H25" i="26"/>
  <c r="G25" i="26"/>
  <c r="H24" i="26"/>
  <c r="G24" i="26"/>
  <c r="H23" i="26"/>
  <c r="G23" i="26"/>
  <c r="H22" i="26"/>
  <c r="G22" i="26"/>
  <c r="H21" i="26"/>
  <c r="G21" i="26"/>
  <c r="H20" i="26"/>
  <c r="G20" i="26"/>
  <c r="H19" i="26"/>
  <c r="G19" i="26"/>
  <c r="H18" i="26"/>
  <c r="G18" i="26"/>
  <c r="H17" i="26"/>
  <c r="G17" i="26"/>
  <c r="H16" i="26"/>
  <c r="G16" i="26"/>
  <c r="H15" i="26"/>
  <c r="G15" i="26"/>
  <c r="H14" i="26"/>
  <c r="G14" i="26"/>
  <c r="H13" i="26"/>
  <c r="G13" i="26"/>
  <c r="H12" i="26"/>
  <c r="G12" i="26"/>
  <c r="H11" i="26"/>
  <c r="G11" i="26"/>
  <c r="H10" i="26"/>
  <c r="G10" i="26"/>
  <c r="H9" i="26"/>
  <c r="G9" i="26"/>
  <c r="H8" i="26"/>
  <c r="G8" i="26"/>
  <c r="H7" i="26"/>
  <c r="G7" i="26"/>
  <c r="H6" i="26"/>
  <c r="G6" i="26"/>
  <c r="H5" i="26"/>
  <c r="G5" i="26"/>
  <c r="H4" i="26"/>
  <c r="G4" i="26"/>
  <c r="C58" i="11"/>
  <c r="G77" i="5" s="1"/>
  <c r="C57" i="11"/>
  <c r="G76" i="5" s="1"/>
  <c r="C56" i="11"/>
  <c r="G75" i="5" s="1"/>
  <c r="G53" i="11"/>
  <c r="H53" i="11" s="1"/>
  <c r="G52" i="11"/>
  <c r="H52" i="11" s="1"/>
  <c r="G51" i="11"/>
  <c r="H51" i="11" s="1"/>
  <c r="G50" i="11"/>
  <c r="H50" i="11" s="1"/>
  <c r="G49" i="11"/>
  <c r="H49" i="11" s="1"/>
  <c r="G48" i="11"/>
  <c r="H48" i="11" s="1"/>
  <c r="G47" i="1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18" i="5" s="1"/>
  <c r="G32" i="11"/>
  <c r="H32" i="11" s="1"/>
  <c r="G31" i="11"/>
  <c r="H31" i="11" s="1"/>
  <c r="G30" i="11"/>
  <c r="H30" i="11" s="1"/>
  <c r="G33" i="5" s="1"/>
  <c r="G29" i="11"/>
  <c r="G28" i="11"/>
  <c r="G27" i="11"/>
  <c r="H27" i="11" s="1"/>
  <c r="G17" i="5" s="1"/>
  <c r="G26" i="11"/>
  <c r="H26" i="11" s="1"/>
  <c r="G11" i="5" s="1"/>
  <c r="G25" i="11"/>
  <c r="H25" i="11" s="1"/>
  <c r="G30" i="5" s="1"/>
  <c r="G24" i="11"/>
  <c r="H24" i="11" s="1"/>
  <c r="G19" i="5" s="1"/>
  <c r="G23" i="11"/>
  <c r="H23" i="11" s="1"/>
  <c r="G20" i="5" s="1"/>
  <c r="G22" i="11"/>
  <c r="H22" i="11" s="1"/>
  <c r="G26" i="5" s="1"/>
  <c r="G21" i="11"/>
  <c r="H21" i="11" s="1"/>
  <c r="G10" i="5" s="1"/>
  <c r="G20" i="11"/>
  <c r="H20" i="11" s="1"/>
  <c r="G19" i="11"/>
  <c r="G18" i="11"/>
  <c r="G17" i="11"/>
  <c r="H17" i="11" s="1"/>
  <c r="G31" i="5" s="1"/>
  <c r="G16" i="11"/>
  <c r="H16" i="11" s="1"/>
  <c r="G28" i="5" s="1"/>
  <c r="G15" i="11"/>
  <c r="H15" i="11" s="1"/>
  <c r="G16" i="5" s="1"/>
  <c r="G14" i="11"/>
  <c r="H14" i="11" s="1"/>
  <c r="G14" i="5" s="1"/>
  <c r="G13" i="11"/>
  <c r="H13" i="11" s="1"/>
  <c r="G21" i="5" s="1"/>
  <c r="G12" i="11"/>
  <c r="H12" i="11" s="1"/>
  <c r="G11" i="11"/>
  <c r="H11" i="11" s="1"/>
  <c r="G6" i="5" s="1"/>
  <c r="G10" i="11"/>
  <c r="H10" i="11" s="1"/>
  <c r="G7" i="5" s="1"/>
  <c r="G9" i="11"/>
  <c r="H9" i="11" s="1"/>
  <c r="G13" i="5" s="1"/>
  <c r="G8" i="11"/>
  <c r="H8" i="11" s="1"/>
  <c r="G9" i="5" s="1"/>
  <c r="G7" i="11"/>
  <c r="H7" i="11" s="1"/>
  <c r="G5" i="5" s="1"/>
  <c r="G6" i="11"/>
  <c r="H6" i="11" s="1"/>
  <c r="G8" i="5" s="1"/>
  <c r="G5" i="11"/>
  <c r="H5" i="11" s="1"/>
  <c r="G15" i="5" s="1"/>
  <c r="G4" i="11"/>
  <c r="H4" i="11" s="1"/>
  <c r="G4" i="5" s="1"/>
  <c r="H59" i="27"/>
  <c r="H58" i="27"/>
  <c r="H60" i="27"/>
  <c r="C58" i="27"/>
  <c r="C59" i="27"/>
  <c r="C60" i="27"/>
  <c r="G35" i="27"/>
  <c r="G36" i="27"/>
  <c r="G37" i="27"/>
  <c r="G38" i="27"/>
  <c r="G39" i="27"/>
  <c r="G40" i="27"/>
  <c r="G41" i="27"/>
  <c r="G42" i="27"/>
  <c r="O42" i="27" s="1"/>
  <c r="G43" i="27"/>
  <c r="G44" i="27"/>
  <c r="G45" i="27"/>
  <c r="G46" i="27"/>
  <c r="G47" i="27"/>
  <c r="G48" i="27"/>
  <c r="G49" i="27"/>
  <c r="G50" i="27"/>
  <c r="O50" i="27" s="1"/>
  <c r="G51" i="27"/>
  <c r="G52" i="27"/>
  <c r="G53" i="27"/>
  <c r="G54" i="27"/>
  <c r="G55" i="27"/>
  <c r="L35" i="27"/>
  <c r="L36" i="27"/>
  <c r="O36" i="27" s="1"/>
  <c r="L37" i="27"/>
  <c r="L38" i="27"/>
  <c r="L39" i="27"/>
  <c r="L40" i="27"/>
  <c r="O40" i="27" s="1"/>
  <c r="L41" i="27"/>
  <c r="L42" i="27"/>
  <c r="L43" i="27"/>
  <c r="L44" i="27"/>
  <c r="O44" i="27" s="1"/>
  <c r="L45" i="27"/>
  <c r="L46" i="27"/>
  <c r="L47" i="27"/>
  <c r="L48" i="27"/>
  <c r="O48" i="27" s="1"/>
  <c r="L49" i="27"/>
  <c r="L50" i="27"/>
  <c r="L51" i="27"/>
  <c r="L52" i="27"/>
  <c r="O52" i="27" s="1"/>
  <c r="L53" i="27"/>
  <c r="L54" i="27"/>
  <c r="L55" i="27"/>
  <c r="M35" i="27"/>
  <c r="M36" i="27"/>
  <c r="M37" i="27"/>
  <c r="M38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M51" i="27"/>
  <c r="M52" i="27"/>
  <c r="M53" i="27"/>
  <c r="M54" i="27"/>
  <c r="M55" i="27"/>
  <c r="N35" i="27"/>
  <c r="N36" i="27"/>
  <c r="N37" i="27"/>
  <c r="N38" i="27"/>
  <c r="N39" i="27"/>
  <c r="N40" i="27"/>
  <c r="N41" i="27"/>
  <c r="N42" i="27"/>
  <c r="N43" i="27"/>
  <c r="N44" i="27"/>
  <c r="N45" i="27"/>
  <c r="N46" i="27"/>
  <c r="N47" i="27"/>
  <c r="N48" i="27"/>
  <c r="N49" i="27"/>
  <c r="N50" i="27"/>
  <c r="N51" i="27"/>
  <c r="N52" i="27"/>
  <c r="N53" i="27"/>
  <c r="N54" i="27"/>
  <c r="N55" i="27"/>
  <c r="O39" i="27"/>
  <c r="N34" i="27"/>
  <c r="M34" i="27"/>
  <c r="L34" i="27"/>
  <c r="G34" i="27"/>
  <c r="N33" i="27"/>
  <c r="M33" i="27"/>
  <c r="L33" i="27"/>
  <c r="G33" i="27"/>
  <c r="N32" i="27"/>
  <c r="M32" i="27"/>
  <c r="L32" i="27"/>
  <c r="G32" i="27"/>
  <c r="N31" i="27"/>
  <c r="M31" i="27"/>
  <c r="L31" i="27"/>
  <c r="G31" i="27"/>
  <c r="N30" i="27"/>
  <c r="M30" i="27"/>
  <c r="L30" i="27"/>
  <c r="G30" i="27"/>
  <c r="N29" i="27"/>
  <c r="M29" i="27"/>
  <c r="L29" i="27"/>
  <c r="G29" i="27"/>
  <c r="N28" i="27"/>
  <c r="M28" i="27"/>
  <c r="L28" i="27"/>
  <c r="G28" i="27"/>
  <c r="N27" i="27"/>
  <c r="M27" i="27"/>
  <c r="L27" i="27"/>
  <c r="G27" i="27"/>
  <c r="N26" i="27"/>
  <c r="M26" i="27"/>
  <c r="L26" i="27"/>
  <c r="G26" i="27"/>
  <c r="N25" i="27"/>
  <c r="M25" i="27"/>
  <c r="L25" i="27"/>
  <c r="G25" i="27"/>
  <c r="N24" i="27"/>
  <c r="M24" i="27"/>
  <c r="L24" i="27"/>
  <c r="G24" i="27"/>
  <c r="N23" i="27"/>
  <c r="M23" i="27"/>
  <c r="L23" i="27"/>
  <c r="G23" i="27"/>
  <c r="N22" i="27"/>
  <c r="M22" i="27"/>
  <c r="L22" i="27"/>
  <c r="G22" i="27"/>
  <c r="N21" i="27"/>
  <c r="M21" i="27"/>
  <c r="L21" i="27"/>
  <c r="G21" i="27"/>
  <c r="N20" i="27"/>
  <c r="M20" i="27"/>
  <c r="L20" i="27"/>
  <c r="G20" i="27"/>
  <c r="N19" i="27"/>
  <c r="M19" i="27"/>
  <c r="L19" i="27"/>
  <c r="G19" i="27"/>
  <c r="N18" i="27"/>
  <c r="M18" i="27"/>
  <c r="L18" i="27"/>
  <c r="G18" i="27"/>
  <c r="N17" i="27"/>
  <c r="M17" i="27"/>
  <c r="L17" i="27"/>
  <c r="G17" i="27"/>
  <c r="N16" i="27"/>
  <c r="M16" i="27"/>
  <c r="L16" i="27"/>
  <c r="G16" i="27"/>
  <c r="N15" i="27"/>
  <c r="M15" i="27"/>
  <c r="L15" i="27"/>
  <c r="G15" i="27"/>
  <c r="N14" i="27"/>
  <c r="M14" i="27"/>
  <c r="L14" i="27"/>
  <c r="G14" i="27"/>
  <c r="N13" i="27"/>
  <c r="M13" i="27"/>
  <c r="L13" i="27"/>
  <c r="G13" i="27"/>
  <c r="N12" i="27"/>
  <c r="M12" i="27"/>
  <c r="L12" i="27"/>
  <c r="G12" i="27"/>
  <c r="N11" i="27"/>
  <c r="M11" i="27"/>
  <c r="L11" i="27"/>
  <c r="G11" i="27"/>
  <c r="N10" i="27"/>
  <c r="M10" i="27"/>
  <c r="L10" i="27"/>
  <c r="G10" i="27"/>
  <c r="N9" i="27"/>
  <c r="M9" i="27"/>
  <c r="L9" i="27"/>
  <c r="G9" i="27"/>
  <c r="N8" i="27"/>
  <c r="M8" i="27"/>
  <c r="L8" i="27"/>
  <c r="G8" i="27"/>
  <c r="N7" i="27"/>
  <c r="M7" i="27"/>
  <c r="L7" i="27"/>
  <c r="G7" i="27"/>
  <c r="N6" i="27"/>
  <c r="M6" i="27"/>
  <c r="L6" i="27"/>
  <c r="G6" i="27"/>
  <c r="P5" i="27"/>
  <c r="N5" i="27"/>
  <c r="M5" i="27"/>
  <c r="L5" i="27"/>
  <c r="G5" i="27"/>
  <c r="H19" i="11" l="1"/>
  <c r="G25" i="5" s="1"/>
  <c r="G12" i="5"/>
  <c r="N40" i="5"/>
  <c r="G23" i="5"/>
  <c r="O53" i="27"/>
  <c r="O49" i="27"/>
  <c r="O45" i="27"/>
  <c r="O41" i="27"/>
  <c r="O37" i="27"/>
  <c r="C62" i="27"/>
  <c r="O9" i="27"/>
  <c r="O32" i="27"/>
  <c r="O54" i="27"/>
  <c r="H60" i="28"/>
  <c r="N57" i="28"/>
  <c r="J75" i="5" s="1"/>
  <c r="N35" i="5"/>
  <c r="N59" i="27"/>
  <c r="O55" i="27"/>
  <c r="O51" i="27"/>
  <c r="O47" i="27"/>
  <c r="O43" i="27"/>
  <c r="O35" i="27"/>
  <c r="O46" i="27"/>
  <c r="O38" i="27"/>
  <c r="C59" i="26"/>
  <c r="C60" i="14"/>
  <c r="M79" i="5" s="1"/>
  <c r="C60" i="8"/>
  <c r="K79" i="5" s="1"/>
  <c r="C59" i="11"/>
  <c r="G78" i="5" s="1"/>
  <c r="C60" i="26"/>
  <c r="O5" i="28"/>
  <c r="O8" i="28"/>
  <c r="O9" i="28"/>
  <c r="O6" i="28"/>
  <c r="O23" i="28"/>
  <c r="O11" i="28"/>
  <c r="O20" i="28"/>
  <c r="O28" i="28"/>
  <c r="O16" i="28"/>
  <c r="O7" i="28"/>
  <c r="O10" i="28"/>
  <c r="O29" i="28"/>
  <c r="O24" i="28"/>
  <c r="O22" i="28"/>
  <c r="O27" i="28"/>
  <c r="O26" i="28"/>
  <c r="O25" i="28"/>
  <c r="O31" i="28"/>
  <c r="O32" i="28"/>
  <c r="C60" i="11"/>
  <c r="G79" i="5" s="1"/>
  <c r="O24" i="27"/>
  <c r="C61" i="27"/>
  <c r="O19" i="28"/>
  <c r="O17" i="28"/>
  <c r="O18" i="28"/>
  <c r="O30" i="28"/>
  <c r="C59" i="8"/>
  <c r="K78" i="5" s="1"/>
  <c r="N58" i="27"/>
  <c r="C59" i="12"/>
  <c r="I79" i="5" s="1"/>
  <c r="C61" i="28"/>
  <c r="C58" i="12"/>
  <c r="I78" i="5" s="1"/>
  <c r="N58" i="28"/>
  <c r="J76" i="5" s="1"/>
  <c r="O13" i="28"/>
  <c r="O12" i="28"/>
  <c r="O14" i="28"/>
  <c r="O21" i="28"/>
  <c r="O15" i="28"/>
  <c r="H61" i="28"/>
  <c r="C41" i="24"/>
  <c r="H79" i="5" s="1"/>
  <c r="C40" i="24"/>
  <c r="H78" i="5" s="1"/>
  <c r="H76" i="5"/>
  <c r="C59" i="14"/>
  <c r="M78" i="5" s="1"/>
  <c r="H61" i="27"/>
  <c r="H62" i="27"/>
  <c r="O34" i="27"/>
  <c r="O21" i="27"/>
  <c r="O23" i="27"/>
  <c r="O33" i="27"/>
  <c r="O5" i="27"/>
  <c r="O8" i="27"/>
  <c r="O10" i="27"/>
  <c r="O12" i="27"/>
  <c r="O16" i="27"/>
  <c r="O18" i="27"/>
  <c r="O25" i="27"/>
  <c r="O27" i="27"/>
  <c r="O29" i="27"/>
  <c r="O31" i="27"/>
  <c r="O20" i="27"/>
  <c r="O22" i="27"/>
  <c r="O7" i="27"/>
  <c r="O11" i="27"/>
  <c r="O13" i="27"/>
  <c r="O15" i="27"/>
  <c r="O17" i="27"/>
  <c r="O26" i="27"/>
  <c r="O28" i="27"/>
  <c r="O30" i="27"/>
  <c r="O19" i="27"/>
  <c r="O14" i="27"/>
  <c r="O6" i="27"/>
  <c r="N61" i="28" l="1"/>
  <c r="J79" i="5" s="1"/>
  <c r="N59" i="28"/>
  <c r="J77" i="5" s="1"/>
  <c r="N62" i="27"/>
  <c r="N60" i="27"/>
  <c r="N61" i="27" s="1"/>
  <c r="N60" i="28" l="1"/>
  <c r="J78" i="5" s="1"/>
  <c r="G30" i="24"/>
  <c r="H30" i="24" s="1"/>
  <c r="H31" i="5" s="1"/>
  <c r="G29" i="24"/>
  <c r="H29" i="24" s="1"/>
  <c r="G28" i="24"/>
  <c r="H28" i="24" s="1"/>
  <c r="G27" i="24"/>
  <c r="H27" i="24" s="1"/>
  <c r="H13" i="5" s="1"/>
  <c r="G26" i="24"/>
  <c r="H26" i="24" s="1"/>
  <c r="G25" i="24"/>
  <c r="H25" i="24" s="1"/>
  <c r="H33" i="5" s="1"/>
  <c r="G24" i="24"/>
  <c r="H24" i="24" s="1"/>
  <c r="H34" i="5" s="1"/>
  <c r="G23" i="24"/>
  <c r="H23" i="24" s="1"/>
  <c r="G22" i="24"/>
  <c r="H22" i="24" s="1"/>
  <c r="G21" i="24"/>
  <c r="H21" i="24" s="1"/>
  <c r="H29" i="5" s="1"/>
  <c r="G20" i="24"/>
  <c r="H20" i="24" s="1"/>
  <c r="G19" i="24"/>
  <c r="H19" i="24" s="1"/>
  <c r="H19" i="5" s="1"/>
  <c r="G18" i="24"/>
  <c r="H18" i="24" s="1"/>
  <c r="H32" i="5" s="1"/>
  <c r="G17" i="24"/>
  <c r="H17" i="24" s="1"/>
  <c r="G16" i="24"/>
  <c r="H16" i="24" s="1"/>
  <c r="H25" i="5" s="1"/>
  <c r="G15" i="24"/>
  <c r="H15" i="24" s="1"/>
  <c r="G13" i="24"/>
  <c r="H13" i="24" s="1"/>
  <c r="G14" i="24"/>
  <c r="H14" i="24" s="1"/>
  <c r="H4" i="5" s="1"/>
  <c r="G12" i="24"/>
  <c r="H12" i="24" s="1"/>
  <c r="H11" i="5" s="1"/>
  <c r="G11" i="24"/>
  <c r="H11" i="24" s="1"/>
  <c r="H9" i="5" s="1"/>
  <c r="G10" i="24"/>
  <c r="H10" i="24" s="1"/>
  <c r="H5" i="5" s="1"/>
  <c r="G9" i="24"/>
  <c r="H9" i="24" s="1"/>
  <c r="H24" i="5" s="1"/>
  <c r="N24" i="5" s="1"/>
  <c r="G8" i="24"/>
  <c r="H8" i="24" s="1"/>
  <c r="H22" i="5" s="1"/>
  <c r="G7" i="24"/>
  <c r="H7" i="24" s="1"/>
  <c r="H7" i="5" s="1"/>
  <c r="N7" i="5" s="1"/>
  <c r="G6" i="24"/>
  <c r="H6" i="24" s="1"/>
  <c r="H23" i="5" s="1"/>
  <c r="G5" i="24"/>
  <c r="H5" i="24" s="1"/>
  <c r="H8" i="5" s="1"/>
  <c r="G4" i="24"/>
  <c r="H4" i="24" s="1"/>
  <c r="H12" i="5" s="1"/>
  <c r="N12" i="5" s="1"/>
  <c r="L46" i="23"/>
  <c r="L50" i="23"/>
  <c r="L8" i="23"/>
  <c r="C29" i="5" s="1"/>
  <c r="C60" i="9"/>
  <c r="L24" i="23"/>
  <c r="C12" i="5" s="1"/>
  <c r="L9" i="23"/>
  <c r="C8" i="5" s="1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5" i="9"/>
  <c r="D77" i="5"/>
  <c r="D75" i="5"/>
  <c r="G4" i="1"/>
  <c r="G5" i="1"/>
  <c r="H4" i="1"/>
  <c r="D19" i="5" s="1"/>
  <c r="H5" i="1"/>
  <c r="D18" i="5" s="1"/>
  <c r="N37" i="5"/>
  <c r="N21" i="5" l="1"/>
  <c r="H27" i="5"/>
  <c r="N27" i="5" s="1"/>
  <c r="H26" i="5"/>
  <c r="N26" i="5" s="1"/>
  <c r="N45" i="5"/>
  <c r="H17" i="5"/>
  <c r="N33" i="5"/>
  <c r="H14" i="5"/>
  <c r="H20" i="5"/>
  <c r="N20" i="5" s="1"/>
  <c r="H16" i="5"/>
  <c r="N16" i="5" s="1"/>
  <c r="H10" i="5"/>
  <c r="H15" i="5"/>
  <c r="N15" i="5" s="1"/>
  <c r="H6" i="5"/>
  <c r="N6" i="5" s="1"/>
  <c r="N23" i="5"/>
  <c r="L31" i="23"/>
  <c r="C35" i="5" s="1"/>
  <c r="L61" i="23"/>
  <c r="L51" i="23"/>
  <c r="L59" i="23"/>
  <c r="L58" i="23"/>
  <c r="L55" i="23"/>
  <c r="L52" i="23"/>
  <c r="L40" i="23"/>
  <c r="L19" i="23"/>
  <c r="C16" i="5" s="1"/>
  <c r="L23" i="23"/>
  <c r="C28" i="5" s="1"/>
  <c r="L20" i="23"/>
  <c r="C9" i="5" s="1"/>
  <c r="L54" i="23"/>
  <c r="L17" i="23"/>
  <c r="C11" i="5" s="1"/>
  <c r="L42" i="23"/>
  <c r="L53" i="23"/>
  <c r="L43" i="23"/>
  <c r="L49" i="23"/>
  <c r="L45" i="23"/>
  <c r="L13" i="23"/>
  <c r="C13" i="5" s="1"/>
  <c r="L47" i="23"/>
  <c r="L44" i="23"/>
  <c r="L37" i="23"/>
  <c r="C36" i="5" s="1"/>
  <c r="L2" i="23"/>
  <c r="C4" i="5" s="1"/>
  <c r="N9" i="5"/>
  <c r="L16" i="23"/>
  <c r="C15" i="5" s="1"/>
  <c r="L25" i="23"/>
  <c r="C7" i="5" s="1"/>
  <c r="L6" i="23"/>
  <c r="C17" i="5" s="1"/>
  <c r="L41" i="23"/>
  <c r="L39" i="23"/>
  <c r="C38" i="5" s="1"/>
  <c r="L12" i="23"/>
  <c r="C6" i="5" s="1"/>
  <c r="L18" i="23"/>
  <c r="C14" i="5" s="1"/>
  <c r="L48" i="23"/>
  <c r="C62" i="1"/>
  <c r="D79" i="5" s="1"/>
  <c r="D76" i="5"/>
  <c r="C61" i="1"/>
  <c r="D78" i="5" s="1"/>
  <c r="C61" i="9"/>
  <c r="C36" i="10"/>
  <c r="F79" i="5" s="1"/>
  <c r="C35" i="10"/>
  <c r="F78" i="5" s="1"/>
  <c r="N32" i="5" l="1"/>
  <c r="N8" i="5" l="1"/>
  <c r="G7" i="21" l="1"/>
  <c r="F21" i="21"/>
  <c r="G4" i="10" l="1"/>
  <c r="H4" i="10" s="1"/>
  <c r="F10" i="5" s="1"/>
  <c r="G5" i="10"/>
  <c r="H5" i="10" s="1"/>
  <c r="F4" i="5" s="1"/>
  <c r="N19" i="5" l="1"/>
  <c r="N10" i="5"/>
  <c r="E27" i="21"/>
  <c r="E26" i="21"/>
  <c r="E25" i="21"/>
  <c r="E28" i="21" l="1"/>
  <c r="E29" i="21"/>
  <c r="N5" i="5" l="1"/>
  <c r="A11" i="6"/>
  <c r="A30" i="6" l="1"/>
  <c r="A8" i="6"/>
  <c r="A46" i="6"/>
  <c r="A7" i="6"/>
  <c r="A22" i="6"/>
  <c r="A51" i="6"/>
  <c r="A49" i="6"/>
  <c r="A53" i="6"/>
  <c r="A52" i="6"/>
  <c r="A50" i="6"/>
  <c r="A48" i="6"/>
  <c r="A47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29" i="6"/>
  <c r="A28" i="6"/>
  <c r="A27" i="6"/>
  <c r="A26" i="6"/>
  <c r="A25" i="6"/>
  <c r="A24" i="6"/>
  <c r="A23" i="6"/>
  <c r="A21" i="6"/>
  <c r="A20" i="6"/>
  <c r="A19" i="6"/>
  <c r="A18" i="6"/>
  <c r="A17" i="6"/>
  <c r="A16" i="6"/>
  <c r="A15" i="6"/>
  <c r="A14" i="6"/>
  <c r="A13" i="6"/>
  <c r="A12" i="6"/>
  <c r="A10" i="6"/>
  <c r="A9" i="6"/>
  <c r="A6" i="6"/>
  <c r="A5" i="6"/>
  <c r="A4" i="6"/>
  <c r="A3" i="6"/>
  <c r="A2" i="6"/>
  <c r="N17" i="5" l="1"/>
  <c r="N18" i="5"/>
  <c r="N13" i="5"/>
  <c r="N31" i="5" l="1"/>
  <c r="N30" i="5"/>
  <c r="N4" i="5" l="1"/>
  <c r="N34" i="5"/>
  <c r="N22" i="5" l="1"/>
  <c r="N36" i="5"/>
  <c r="N46" i="5" l="1"/>
  <c r="N38" i="5"/>
  <c r="N29" i="5" l="1"/>
  <c r="N25" i="5" l="1"/>
  <c r="N28" i="5"/>
  <c r="N44" i="5" l="1"/>
  <c r="N14" i="5" l="1"/>
  <c r="N42" i="5" l="1"/>
  <c r="N11" i="5"/>
</calcChain>
</file>

<file path=xl/comments1.xml><?xml version="1.0" encoding="utf-8"?>
<comments xmlns="http://schemas.openxmlformats.org/spreadsheetml/2006/main">
  <authors>
    <author>Jeff</author>
  </authors>
  <commentList>
    <comment ref="H10" author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-2 for not signing up</t>
        </r>
      </text>
    </comment>
  </commentList>
</comments>
</file>

<file path=xl/sharedStrings.xml><?xml version="1.0" encoding="utf-8"?>
<sst xmlns="http://schemas.openxmlformats.org/spreadsheetml/2006/main" count="1125" uniqueCount="294">
  <si>
    <t>WEIGHT</t>
  </si>
  <si>
    <t>TOTAL</t>
  </si>
  <si>
    <t>Byrd</t>
  </si>
  <si>
    <t>Ed</t>
  </si>
  <si>
    <t>Joe</t>
  </si>
  <si>
    <t>Chenowth</t>
  </si>
  <si>
    <t>Terry</t>
  </si>
  <si>
    <t>Collins</t>
  </si>
  <si>
    <t>Juan</t>
  </si>
  <si>
    <t>Jim</t>
  </si>
  <si>
    <t>Diosdado</t>
  </si>
  <si>
    <t>Cesar</t>
  </si>
  <si>
    <t>Gardner</t>
  </si>
  <si>
    <t>Greg</t>
  </si>
  <si>
    <t>Kenson</t>
  </si>
  <si>
    <t>Stu</t>
  </si>
  <si>
    <t>Dave</t>
  </si>
  <si>
    <t>Jeff</t>
  </si>
  <si>
    <t>Marr</t>
  </si>
  <si>
    <t>Frank</t>
  </si>
  <si>
    <t>Whitworth</t>
  </si>
  <si>
    <t>Skip</t>
  </si>
  <si>
    <t>Name</t>
  </si>
  <si>
    <t>Kreiser</t>
  </si>
  <si>
    <t>Randy</t>
  </si>
  <si>
    <t>POINTS</t>
  </si>
  <si>
    <t>Eisner</t>
  </si>
  <si>
    <t>Janice</t>
  </si>
  <si>
    <t>Lopez</t>
  </si>
  <si>
    <t>Inder</t>
  </si>
  <si>
    <t>Bud Brant</t>
  </si>
  <si>
    <t>Ed Byrd</t>
  </si>
  <si>
    <t>Terry Chenowth</t>
  </si>
  <si>
    <t>Greg Gardner</t>
  </si>
  <si>
    <t>Stu Kenson</t>
  </si>
  <si>
    <t>Inder Lopez</t>
  </si>
  <si>
    <t>Ron Overman</t>
  </si>
  <si>
    <t>Points</t>
  </si>
  <si>
    <t>Putney</t>
  </si>
  <si>
    <t>Jim Putney</t>
  </si>
  <si>
    <t>Ron</t>
  </si>
  <si>
    <t>Overman</t>
  </si>
  <si>
    <t>Bud</t>
  </si>
  <si>
    <t>Mike</t>
  </si>
  <si>
    <t>Brant</t>
  </si>
  <si>
    <t>Patrick</t>
  </si>
  <si>
    <t>Larry</t>
  </si>
  <si>
    <t>Ward</t>
  </si>
  <si>
    <t>Juan Collins</t>
  </si>
  <si>
    <t>Cesar Diosdado</t>
  </si>
  <si>
    <t>Adam East</t>
  </si>
  <si>
    <t>Janice Eisner</t>
  </si>
  <si>
    <t>Randy Kreiser</t>
  </si>
  <si>
    <t>Ed Marr</t>
  </si>
  <si>
    <t>Larry Ward</t>
  </si>
  <si>
    <t>Skip Whitworth</t>
  </si>
  <si>
    <t>Zoé Gardner</t>
  </si>
  <si>
    <t>Zoé</t>
  </si>
  <si>
    <t>Number</t>
  </si>
  <si>
    <t>of Fish</t>
  </si>
  <si>
    <t>Weight</t>
  </si>
  <si>
    <t>EL CAPITAN</t>
  </si>
  <si>
    <t>Keith Cloward</t>
  </si>
  <si>
    <t>Cloward</t>
  </si>
  <si>
    <t>Buck Billock</t>
  </si>
  <si>
    <t>Billock</t>
  </si>
  <si>
    <t>Buck</t>
  </si>
  <si>
    <t>Keith</t>
  </si>
  <si>
    <t>Scott</t>
  </si>
  <si>
    <t>Ashley</t>
  </si>
  <si>
    <t>Scott Ashley</t>
  </si>
  <si>
    <t>Baird</t>
  </si>
  <si>
    <t>Mike Baird</t>
  </si>
  <si>
    <t>Brent</t>
  </si>
  <si>
    <t>Benish</t>
  </si>
  <si>
    <t>Brent Benish</t>
  </si>
  <si>
    <t>Josh</t>
  </si>
  <si>
    <t>Buller</t>
  </si>
  <si>
    <t>Josh Buller</t>
  </si>
  <si>
    <t>Carpenter</t>
  </si>
  <si>
    <t>Jeff Carpenter</t>
  </si>
  <si>
    <t>Lupo</t>
  </si>
  <si>
    <t>Mike Lupo</t>
  </si>
  <si>
    <t>Neugebauer</t>
  </si>
  <si>
    <t>Frank Neugebauer</t>
  </si>
  <si>
    <t>Ryan</t>
  </si>
  <si>
    <t>Test</t>
  </si>
  <si>
    <t>Ryan Test</t>
  </si>
  <si>
    <t>Number of Participants:</t>
  </si>
  <si>
    <t>Total Number of Fish Caught:</t>
  </si>
  <si>
    <t>Total Weight of Fish Caught:</t>
  </si>
  <si>
    <t>Average Fish Weight:</t>
  </si>
  <si>
    <t xml:space="preserve">Average Number of Fish per Person: </t>
  </si>
  <si>
    <t>YEAR</t>
  </si>
  <si>
    <t>Steve</t>
  </si>
  <si>
    <t>Hale</t>
  </si>
  <si>
    <t>Sonny Hale</t>
  </si>
  <si>
    <t>Total Number of Fish Caught per Day:</t>
  </si>
  <si>
    <t>Total Weight of Fish Caught per Day:</t>
  </si>
  <si>
    <t xml:space="preserve">Average Number of Fish per Person per Day: </t>
  </si>
  <si>
    <t>Sonny</t>
  </si>
  <si>
    <t>Seaberg</t>
  </si>
  <si>
    <t>Dave Seaberg</t>
  </si>
  <si>
    <t>Regina Seaberg</t>
  </si>
  <si>
    <t>Joe DeSalvo</t>
  </si>
  <si>
    <t>Nick Meyer</t>
  </si>
  <si>
    <t>Cody Billock</t>
  </si>
  <si>
    <t>Terry Foreman</t>
  </si>
  <si>
    <t xml:space="preserve"> </t>
  </si>
  <si>
    <t>Gene Estabrook</t>
  </si>
  <si>
    <t>Number of Teams:</t>
  </si>
  <si>
    <t>Team</t>
  </si>
  <si>
    <t>Curtis Arneman</t>
  </si>
  <si>
    <t>TOURNAMENT OF CHAMPIONS</t>
  </si>
  <si>
    <t>Curtis</t>
  </si>
  <si>
    <t>Arneman</t>
  </si>
  <si>
    <t>DeSalvo</t>
  </si>
  <si>
    <t>Gene</t>
  </si>
  <si>
    <t>Estabrook</t>
  </si>
  <si>
    <t>Ken Louis</t>
  </si>
  <si>
    <t>Nick</t>
  </si>
  <si>
    <t>Meyer</t>
  </si>
  <si>
    <t>Steve Swaggerty</t>
  </si>
  <si>
    <t>Swaggerty</t>
  </si>
  <si>
    <t>Cody</t>
  </si>
  <si>
    <t>Bart</t>
  </si>
  <si>
    <t>Hegeler</t>
  </si>
  <si>
    <t>Ernie</t>
  </si>
  <si>
    <t>Guillen</t>
  </si>
  <si>
    <t>Ernie Guillen</t>
  </si>
  <si>
    <t>Bart Hegeler</t>
  </si>
  <si>
    <t>Foreman</t>
  </si>
  <si>
    <t>FISHING?  (Y/N)</t>
  </si>
  <si>
    <t>Y</t>
  </si>
  <si>
    <t>COPY COL A THEN SORT BY COL E</t>
  </si>
  <si>
    <t>FISHERS LANDING</t>
  </si>
  <si>
    <t>Bobby Foreman</t>
  </si>
  <si>
    <t>James Bogin</t>
  </si>
  <si>
    <t>James</t>
  </si>
  <si>
    <t>Bogin</t>
  </si>
  <si>
    <t>Bobby</t>
  </si>
  <si>
    <t>Jim Robinson</t>
  </si>
  <si>
    <t>Sean Swales</t>
  </si>
  <si>
    <t>Sean</t>
  </si>
  <si>
    <t>Swales</t>
  </si>
  <si>
    <t>Brent Kearney</t>
  </si>
  <si>
    <t>Frank Morrin</t>
  </si>
  <si>
    <t>Micah Spence</t>
  </si>
  <si>
    <t>Jim Sleight</t>
  </si>
  <si>
    <t>Adam</t>
  </si>
  <si>
    <t>East</t>
  </si>
  <si>
    <t>Boomer</t>
  </si>
  <si>
    <t>Glasner</t>
  </si>
  <si>
    <t>Kearney</t>
  </si>
  <si>
    <t>Ken</t>
  </si>
  <si>
    <t>Louis</t>
  </si>
  <si>
    <t>Morrin</t>
  </si>
  <si>
    <t>Robinson</t>
  </si>
  <si>
    <t>Sleight</t>
  </si>
  <si>
    <t>Micah</t>
  </si>
  <si>
    <t>Spence</t>
  </si>
  <si>
    <t>Gina</t>
  </si>
  <si>
    <t>Barton</t>
  </si>
  <si>
    <t>Barton Hegeler</t>
  </si>
  <si>
    <t>Cheryl Byrd</t>
  </si>
  <si>
    <t>At Large</t>
  </si>
  <si>
    <t>David Patrick</t>
  </si>
  <si>
    <t>n</t>
  </si>
  <si>
    <t>Cheryl</t>
  </si>
  <si>
    <t>Boomer Glasner</t>
  </si>
  <si>
    <t>Jeff Manning</t>
  </si>
  <si>
    <t>Vicki Becker</t>
  </si>
  <si>
    <t>Dave Patrick</t>
  </si>
  <si>
    <t>Gina Seaberg</t>
  </si>
  <si>
    <t>x</t>
  </si>
  <si>
    <t>Cole Wright</t>
  </si>
  <si>
    <t>Dave Mack</t>
  </si>
  <si>
    <t>John Williamson</t>
  </si>
  <si>
    <t>Lynn Brown</t>
  </si>
  <si>
    <t>Penalty</t>
  </si>
  <si>
    <t>James Beyroutey</t>
  </si>
  <si>
    <t>Big Fish</t>
  </si>
  <si>
    <t xml:space="preserve">Total </t>
  </si>
  <si>
    <t>Place</t>
  </si>
  <si>
    <t>Justin Chandler</t>
  </si>
  <si>
    <t>Number of Participants</t>
  </si>
  <si>
    <t>OTAY</t>
  </si>
  <si>
    <t>OTAY NIGHT</t>
  </si>
  <si>
    <t>Dave Waller</t>
  </si>
  <si>
    <t>Brian Goodell</t>
  </si>
  <si>
    <t>Jim Beyrouty</t>
  </si>
  <si>
    <t>Jesse McNett</t>
  </si>
  <si>
    <t>Jesse</t>
  </si>
  <si>
    <t>McNett</t>
  </si>
  <si>
    <t>David</t>
  </si>
  <si>
    <t>Beyroutey</t>
  </si>
  <si>
    <t>Cole</t>
  </si>
  <si>
    <t>Wright</t>
  </si>
  <si>
    <t>Waller</t>
  </si>
  <si>
    <t>Regina</t>
  </si>
  <si>
    <t>Vicki</t>
  </si>
  <si>
    <t>Becker</t>
  </si>
  <si>
    <t>Mack</t>
  </si>
  <si>
    <t>Brian</t>
  </si>
  <si>
    <t>Goodell</t>
  </si>
  <si>
    <t>John</t>
  </si>
  <si>
    <t>Williamson</t>
  </si>
  <si>
    <t>Beyrouty</t>
  </si>
  <si>
    <t>Justin</t>
  </si>
  <si>
    <t>Chandler</t>
  </si>
  <si>
    <t>Lynn</t>
  </si>
  <si>
    <t>Brown</t>
  </si>
  <si>
    <t>deSalvo</t>
  </si>
  <si>
    <t>Number of Fish</t>
  </si>
  <si>
    <t>Total Weight</t>
  </si>
  <si>
    <t>Net Weight</t>
  </si>
  <si>
    <t>Total Points</t>
  </si>
  <si>
    <t>Otay</t>
  </si>
  <si>
    <t>El Cap</t>
  </si>
  <si>
    <t>Big Fish2</t>
  </si>
  <si>
    <t>Total Weight2</t>
  </si>
  <si>
    <t>FISH COUNT</t>
  </si>
  <si>
    <t>Number of Fish2</t>
  </si>
  <si>
    <t>BIGGEST FISH</t>
  </si>
  <si>
    <t>Net Weight2</t>
  </si>
  <si>
    <t>Penalty2</t>
  </si>
  <si>
    <t>Day 1</t>
  </si>
  <si>
    <t>Day 2</t>
  </si>
  <si>
    <t>Biggest</t>
  </si>
  <si>
    <t>Angler</t>
  </si>
  <si>
    <t>Otay Night</t>
  </si>
  <si>
    <t>Dina Ammsso</t>
  </si>
  <si>
    <t>Evan Esancy</t>
  </si>
  <si>
    <t>Marshall Martin</t>
  </si>
  <si>
    <t>Brandon Kuehl</t>
  </si>
  <si>
    <t>Jim Beyroutey</t>
  </si>
  <si>
    <t>Bruce Smith</t>
  </si>
  <si>
    <t>EL CAP FUN TOURNAMENT</t>
  </si>
  <si>
    <t>JUNE 9, 2019</t>
  </si>
  <si>
    <t>MAY 11 - 12, 2019</t>
  </si>
  <si>
    <t>William Larson</t>
  </si>
  <si>
    <t>Michael Lupo</t>
  </si>
  <si>
    <t>Brandon Hoffman</t>
  </si>
  <si>
    <t>Kevin Kerr</t>
  </si>
  <si>
    <t>Josh Rhodes</t>
  </si>
  <si>
    <t>Brian Schuler</t>
  </si>
  <si>
    <t>Rowan Stone</t>
  </si>
  <si>
    <t>Mark Thomas</t>
  </si>
  <si>
    <t>Doris Cook</t>
  </si>
  <si>
    <t>Les Marr</t>
  </si>
  <si>
    <t>Harold Stephens</t>
  </si>
  <si>
    <t>Lee Chapman</t>
  </si>
  <si>
    <t>Jim Davis</t>
  </si>
  <si>
    <t>Darryl Crippen</t>
  </si>
  <si>
    <t>Bryon miner</t>
  </si>
  <si>
    <t>Greg Vasquez</t>
  </si>
  <si>
    <t>El Cap 2</t>
  </si>
  <si>
    <t>El Capitan</t>
  </si>
  <si>
    <t>JANUARY 11, 2020</t>
  </si>
  <si>
    <t>February 8, 2020</t>
  </si>
  <si>
    <t>AUGUST 7, 2020</t>
  </si>
  <si>
    <t>SEPTEMBER 26, 2020</t>
  </si>
  <si>
    <t>OCTOBER 10 - 11, 2020</t>
  </si>
  <si>
    <t>NOVEMBER 14, 2020</t>
  </si>
  <si>
    <t>San V Night</t>
  </si>
  <si>
    <t>Lower River</t>
  </si>
  <si>
    <t>Duane Johnson</t>
  </si>
  <si>
    <t>Greg Vazquez</t>
  </si>
  <si>
    <t>Ryan Kuiper</t>
  </si>
  <si>
    <t>Buzz Brizendine</t>
  </si>
  <si>
    <t>James Chase</t>
  </si>
  <si>
    <t>Brent Kearny</t>
  </si>
  <si>
    <t>TPF</t>
  </si>
  <si>
    <t>2020</t>
  </si>
  <si>
    <t>Otay Lake</t>
  </si>
  <si>
    <t>June 27 2020</t>
  </si>
  <si>
    <t>Otay2</t>
  </si>
  <si>
    <t>Patrick Farrier</t>
  </si>
  <si>
    <t>Joe Desalvo</t>
  </si>
  <si>
    <t>Big Fish Out of Tournament:  Jesse Mc Nett 6/27/2020 9.09 lbs.</t>
  </si>
  <si>
    <t>San Vicente Night</t>
  </si>
  <si>
    <t>August 29, 2020</t>
  </si>
  <si>
    <t>October 31, 2020</t>
  </si>
  <si>
    <t>Otay #4</t>
  </si>
  <si>
    <t>Otay #3</t>
  </si>
  <si>
    <t>NOVEMBER 1, 2020</t>
  </si>
  <si>
    <t>Hodges</t>
  </si>
  <si>
    <t>Otay 3</t>
  </si>
  <si>
    <t>Otay 4</t>
  </si>
  <si>
    <t>Tim Kidwell</t>
  </si>
  <si>
    <t>Big Fish in Tournament:  Inder Lopez 8/7/2020 8.86 lbs.</t>
  </si>
  <si>
    <t>Big Stringer in Tournament: Inder Lopez 8/7/2020  16.70 lbs.</t>
  </si>
  <si>
    <t>Lake Hodges 8/29/2020</t>
  </si>
  <si>
    <t>YEAR TO DATE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</si>
</sst>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09]mmmm\ d\,\ yyyy;@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 Black"/>
      <family val="2"/>
    </font>
    <font>
      <sz val="10"/>
      <color indexed="9"/>
      <name val="Arial"/>
      <family val="2"/>
    </font>
    <font>
      <b/>
      <u/>
      <sz val="12"/>
      <color indexed="9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sz val="11"/>
      <color rgb="FF000000"/>
      <name val="Calibri"/>
      <family val="2"/>
      <scheme val="minor"/>
    </font>
    <font>
      <b/>
      <sz val="20"/>
      <color rgb="FFFFFF00"/>
      <name val="Arial Black"/>
      <family val="2"/>
    </font>
    <font>
      <b/>
      <sz val="16"/>
      <color rgb="FFFFFF00"/>
      <name val="Arial"/>
      <family val="2"/>
    </font>
    <font>
      <b/>
      <sz val="20"/>
      <color theme="0"/>
      <name val="Arial Black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sz val="26"/>
      <color theme="0"/>
      <name val="Arial Black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Cambria"/>
      <family val="1"/>
    </font>
    <font>
      <sz val="12"/>
      <color theme="1"/>
      <name val="Arial"/>
      <family val="2"/>
    </font>
    <font>
      <i/>
      <sz val="24"/>
      <color indexed="9"/>
      <name val="Baskerville Old Face"/>
      <family val="1"/>
    </font>
    <font>
      <b/>
      <sz val="36"/>
      <color indexed="9"/>
      <name val="Wide Latin"/>
      <family val="1"/>
    </font>
    <font>
      <sz val="11"/>
      <color rgb="FF000000"/>
      <name val="Calibri"/>
      <family val="2"/>
    </font>
    <font>
      <b/>
      <sz val="26"/>
      <color theme="0"/>
      <name val="Cambria"/>
      <family val="1"/>
    </font>
    <font>
      <b/>
      <sz val="10"/>
      <color theme="0"/>
      <name val="Cambria"/>
      <family val="1"/>
    </font>
    <font>
      <b/>
      <sz val="14"/>
      <color theme="0"/>
      <name val="Cambria"/>
      <family val="1"/>
    </font>
    <font>
      <b/>
      <sz val="12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sz val="24"/>
      <name val="Arial Black"/>
      <family val="2"/>
    </font>
    <font>
      <b/>
      <sz val="14"/>
      <name val="Arial"/>
      <family val="2"/>
    </font>
    <font>
      <b/>
      <u/>
      <sz val="18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</font>
    <font>
      <sz val="12"/>
      <color theme="1"/>
      <name val="Arial"/>
    </font>
    <font>
      <b/>
      <sz val="12"/>
      <name val="Arial"/>
    </font>
    <font>
      <b/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D2EF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8">
    <xf numFmtId="0" fontId="0" fillId="0" borderId="0"/>
    <xf numFmtId="0" fontId="1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9">
    <xf numFmtId="0" fontId="0" fillId="0" borderId="0" xfId="0"/>
    <xf numFmtId="2" fontId="9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Fill="1"/>
    <xf numFmtId="2" fontId="9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1" fillId="0" borderId="0" xfId="0" applyFont="1"/>
    <xf numFmtId="0" fontId="8" fillId="0" borderId="0" xfId="0" applyFont="1"/>
    <xf numFmtId="0" fontId="10" fillId="0" borderId="0" xfId="0" applyFont="1" applyAlignment="1"/>
    <xf numFmtId="1" fontId="10" fillId="0" borderId="0" xfId="0" applyNumberFormat="1" applyFont="1" applyAlignment="1">
      <alignment horizontal="center"/>
    </xf>
    <xf numFmtId="1" fontId="0" fillId="0" borderId="0" xfId="0" applyNumberFormat="1"/>
    <xf numFmtId="0" fontId="0" fillId="0" borderId="0" xfId="0" applyFill="1"/>
    <xf numFmtId="0" fontId="14" fillId="3" borderId="0" xfId="0" applyFont="1" applyFill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2" fontId="16" fillId="3" borderId="0" xfId="0" applyNumberFormat="1" applyFont="1" applyFill="1" applyAlignment="1">
      <alignment horizontal="center"/>
    </xf>
    <xf numFmtId="1" fontId="16" fillId="3" borderId="0" xfId="0" applyNumberFormat="1" applyFont="1" applyFill="1" applyAlignment="1">
      <alignment horizontal="center"/>
    </xf>
    <xf numFmtId="1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" fontId="15" fillId="3" borderId="0" xfId="0" applyNumberFormat="1" applyFont="1" applyFill="1" applyAlignment="1">
      <alignment horizontal="center"/>
    </xf>
    <xf numFmtId="2" fontId="0" fillId="0" borderId="0" xfId="0" applyNumberFormat="1"/>
    <xf numFmtId="2" fontId="15" fillId="3" borderId="0" xfId="0" applyNumberFormat="1" applyFont="1" applyFill="1" applyAlignment="1">
      <alignment horizontal="center"/>
    </xf>
    <xf numFmtId="0" fontId="0" fillId="0" borderId="0" xfId="0"/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/>
    <xf numFmtId="2" fontId="11" fillId="0" borderId="4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2" fontId="11" fillId="0" borderId="0" xfId="1" applyNumberFormat="1" applyFont="1" applyFill="1" applyAlignment="1">
      <alignment horizontal="center" vertical="center"/>
    </xf>
    <xf numFmtId="1" fontId="11" fillId="0" borderId="0" xfId="1" applyNumberFormat="1" applyFont="1" applyFill="1" applyAlignment="1">
      <alignment horizontal="center" vertical="center"/>
    </xf>
    <xf numFmtId="2" fontId="11" fillId="0" borderId="0" xfId="1" applyNumberFormat="1" applyFont="1" applyFill="1" applyBorder="1" applyAlignment="1">
      <alignment horizontal="center" vertical="center"/>
    </xf>
    <xf numFmtId="1" fontId="10" fillId="5" borderId="0" xfId="0" applyNumberFormat="1" applyFont="1" applyFill="1" applyAlignment="1">
      <alignment horizontal="center"/>
    </xf>
    <xf numFmtId="2" fontId="10" fillId="5" borderId="0" xfId="0" applyNumberFormat="1" applyFont="1" applyFill="1" applyAlignment="1">
      <alignment horizontal="center"/>
    </xf>
    <xf numFmtId="0" fontId="26" fillId="8" borderId="1" xfId="0" applyFont="1" applyFill="1" applyBorder="1" applyAlignment="1">
      <alignment horizontal="center"/>
    </xf>
    <xf numFmtId="0" fontId="26" fillId="8" borderId="2" xfId="0" applyFont="1" applyFill="1" applyBorder="1" applyAlignment="1">
      <alignment horizontal="center"/>
    </xf>
    <xf numFmtId="0" fontId="26" fillId="8" borderId="3" xfId="0" applyFont="1" applyFill="1" applyBorder="1" applyAlignment="1">
      <alignment horizontal="center"/>
    </xf>
    <xf numFmtId="0" fontId="26" fillId="8" borderId="5" xfId="0" applyFont="1" applyFill="1" applyBorder="1" applyAlignment="1">
      <alignment horizontal="center"/>
    </xf>
    <xf numFmtId="0" fontId="29" fillId="0" borderId="0" xfId="5" applyFont="1" applyFill="1" applyAlignment="1">
      <alignment horizontal="center"/>
    </xf>
    <xf numFmtId="0" fontId="29" fillId="0" borderId="0" xfId="5" applyFont="1" applyFill="1"/>
    <xf numFmtId="2" fontId="8" fillId="5" borderId="0" xfId="0" applyNumberFormat="1" applyFont="1" applyFill="1" applyAlignment="1">
      <alignment horizontal="center"/>
    </xf>
    <xf numFmtId="1" fontId="8" fillId="5" borderId="0" xfId="0" applyNumberFormat="1" applyFont="1" applyFill="1" applyAlignment="1">
      <alignment horizontal="center"/>
    </xf>
    <xf numFmtId="164" fontId="10" fillId="5" borderId="0" xfId="0" applyNumberFormat="1" applyFont="1" applyFill="1" applyAlignment="1">
      <alignment horizontal="center"/>
    </xf>
    <xf numFmtId="0" fontId="10" fillId="0" borderId="0" xfId="0" applyFont="1"/>
    <xf numFmtId="2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 vertical="center"/>
    </xf>
    <xf numFmtId="2" fontId="16" fillId="3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/>
    <xf numFmtId="49" fontId="34" fillId="7" borderId="0" xfId="0" applyNumberFormat="1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/>
    </xf>
    <xf numFmtId="49" fontId="35" fillId="7" borderId="10" xfId="0" applyNumberFormat="1" applyFont="1" applyFill="1" applyBorder="1" applyAlignment="1">
      <alignment horizontal="center" vertical="center"/>
    </xf>
    <xf numFmtId="49" fontId="34" fillId="7" borderId="10" xfId="0" applyNumberFormat="1" applyFont="1" applyFill="1" applyBorder="1" applyAlignment="1">
      <alignment horizontal="center" vertical="center"/>
    </xf>
    <xf numFmtId="2" fontId="10" fillId="0" borderId="10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36" fillId="8" borderId="0" xfId="0" applyFont="1" applyFill="1" applyAlignment="1">
      <alignment horizontal="left"/>
    </xf>
    <xf numFmtId="0" fontId="37" fillId="7" borderId="0" xfId="0" applyFont="1" applyFill="1"/>
    <xf numFmtId="0" fontId="36" fillId="8" borderId="0" xfId="0" applyFont="1" applyFill="1" applyAlignment="1">
      <alignment horizontal="center"/>
    </xf>
    <xf numFmtId="1" fontId="36" fillId="8" borderId="0" xfId="0" applyNumberFormat="1" applyFont="1" applyFill="1" applyAlignment="1">
      <alignment horizontal="center"/>
    </xf>
    <xf numFmtId="2" fontId="36" fillId="8" borderId="0" xfId="0" applyNumberFormat="1" applyFont="1" applyFill="1" applyAlignment="1">
      <alignment horizontal="center"/>
    </xf>
    <xf numFmtId="2" fontId="36" fillId="8" borderId="0" xfId="0" applyNumberFormat="1" applyFont="1" applyFill="1" applyAlignment="1">
      <alignment horizontal="left"/>
    </xf>
    <xf numFmtId="0" fontId="23" fillId="7" borderId="0" xfId="0" applyFont="1" applyFill="1" applyAlignment="1">
      <alignment horizontal="center"/>
    </xf>
    <xf numFmtId="2" fontId="24" fillId="7" borderId="0" xfId="0" applyNumberFormat="1" applyFont="1" applyFill="1" applyAlignment="1">
      <alignment horizontal="center"/>
    </xf>
    <xf numFmtId="0" fontId="24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0" fillId="0" borderId="0" xfId="3" applyFont="1" applyFill="1" applyAlignment="1">
      <alignment horizontal="center"/>
    </xf>
    <xf numFmtId="0" fontId="34" fillId="7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1" xfId="0" applyFont="1" applyBorder="1"/>
    <xf numFmtId="0" fontId="9" fillId="0" borderId="11" xfId="0" applyFont="1" applyFill="1" applyBorder="1" applyAlignment="1">
      <alignment horizontal="left"/>
    </xf>
    <xf numFmtId="49" fontId="35" fillId="7" borderId="0" xfId="0" applyNumberFormat="1" applyFont="1" applyFill="1" applyBorder="1" applyAlignment="1">
      <alignment horizontal="center" vertical="center"/>
    </xf>
    <xf numFmtId="1" fontId="11" fillId="0" borderId="4" xfId="1" applyNumberFormat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0" fontId="42" fillId="0" borderId="0" xfId="0" applyFont="1"/>
    <xf numFmtId="0" fontId="24" fillId="2" borderId="12" xfId="0" applyFont="1" applyFill="1" applyBorder="1" applyAlignment="1">
      <alignment horizontal="center"/>
    </xf>
    <xf numFmtId="1" fontId="29" fillId="10" borderId="12" xfId="0" applyNumberFormat="1" applyFont="1" applyFill="1" applyBorder="1" applyAlignment="1">
      <alignment horizontal="center"/>
    </xf>
    <xf numFmtId="1" fontId="29" fillId="10" borderId="13" xfId="0" applyNumberFormat="1" applyFont="1" applyFill="1" applyBorder="1" applyAlignment="1">
      <alignment horizontal="center"/>
    </xf>
    <xf numFmtId="2" fontId="29" fillId="10" borderId="13" xfId="0" applyNumberFormat="1" applyFont="1" applyFill="1" applyBorder="1" applyAlignment="1">
      <alignment horizontal="center"/>
    </xf>
    <xf numFmtId="1" fontId="29" fillId="0" borderId="12" xfId="0" applyNumberFormat="1" applyFont="1" applyBorder="1" applyAlignment="1">
      <alignment horizontal="center"/>
    </xf>
    <xf numFmtId="1" fontId="29" fillId="0" borderId="13" xfId="0" applyNumberFormat="1" applyFont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0" fontId="29" fillId="10" borderId="13" xfId="5" applyNumberFormat="1" applyFont="1" applyFill="1" applyBorder="1" applyAlignment="1">
      <alignment horizontal="center"/>
    </xf>
    <xf numFmtId="2" fontId="24" fillId="2" borderId="0" xfId="0" applyNumberFormat="1" applyFont="1" applyFill="1" applyBorder="1" applyAlignment="1">
      <alignment horizontal="center"/>
    </xf>
    <xf numFmtId="1" fontId="24" fillId="2" borderId="0" xfId="0" applyNumberFormat="1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center" wrapText="1"/>
    </xf>
    <xf numFmtId="0" fontId="26" fillId="7" borderId="6" xfId="0" applyFont="1" applyFill="1" applyBorder="1" applyAlignment="1">
      <alignment horizontal="center"/>
    </xf>
    <xf numFmtId="0" fontId="26" fillId="7" borderId="5" xfId="0" applyFont="1" applyFill="1" applyBorder="1" applyAlignment="1">
      <alignment horizontal="center"/>
    </xf>
    <xf numFmtId="0" fontId="26" fillId="7" borderId="7" xfId="0" applyFont="1" applyFill="1" applyBorder="1" applyAlignment="1">
      <alignment horizontal="center"/>
    </xf>
    <xf numFmtId="0" fontId="26" fillId="7" borderId="8" xfId="0" applyFont="1" applyFill="1" applyBorder="1" applyAlignment="1">
      <alignment horizontal="center"/>
    </xf>
    <xf numFmtId="0" fontId="9" fillId="7" borderId="0" xfId="0" applyFont="1" applyFill="1"/>
    <xf numFmtId="1" fontId="10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1" fontId="29" fillId="0" borderId="13" xfId="0" applyNumberFormat="1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1" fontId="10" fillId="0" borderId="0" xfId="1" applyNumberFormat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2" fontId="10" fillId="0" borderId="0" xfId="1" applyNumberFormat="1" applyFont="1" applyFill="1" applyAlignment="1">
      <alignment horizontal="center" vertical="center"/>
    </xf>
    <xf numFmtId="0" fontId="23" fillId="8" borderId="0" xfId="0" applyFont="1" applyFill="1" applyAlignment="1">
      <alignment horizontal="center"/>
    </xf>
    <xf numFmtId="0" fontId="23" fillId="8" borderId="0" xfId="0" applyFont="1" applyFill="1" applyAlignment="1">
      <alignment horizontal="left"/>
    </xf>
    <xf numFmtId="1" fontId="23" fillId="8" borderId="0" xfId="0" applyNumberFormat="1" applyFont="1" applyFill="1" applyAlignment="1">
      <alignment horizontal="center"/>
    </xf>
    <xf numFmtId="2" fontId="23" fillId="8" borderId="0" xfId="0" applyNumberFormat="1" applyFont="1" applyFill="1" applyAlignment="1">
      <alignment horizontal="center"/>
    </xf>
    <xf numFmtId="2" fontId="23" fillId="8" borderId="0" xfId="0" applyNumberFormat="1" applyFont="1" applyFill="1" applyAlignment="1">
      <alignment horizontal="left"/>
    </xf>
    <xf numFmtId="0" fontId="0" fillId="0" borderId="0" xfId="0" applyNumberFormat="1" applyAlignment="1">
      <alignment horizontal="center"/>
    </xf>
    <xf numFmtId="0" fontId="16" fillId="3" borderId="0" xfId="0" applyFont="1" applyFill="1" applyAlignment="1"/>
    <xf numFmtId="2" fontId="16" fillId="3" borderId="0" xfId="0" applyNumberFormat="1" applyFont="1" applyFill="1" applyAlignment="1"/>
    <xf numFmtId="0" fontId="10" fillId="0" borderId="0" xfId="0" applyNumberFormat="1" applyFont="1" applyFill="1" applyAlignment="1">
      <alignment horizontal="center"/>
    </xf>
    <xf numFmtId="0" fontId="29" fillId="0" borderId="13" xfId="5" applyNumberFormat="1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16" fillId="3" borderId="0" xfId="0" applyFont="1" applyFill="1" applyAlignment="1"/>
    <xf numFmtId="1" fontId="10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4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29" fillId="0" borderId="0" xfId="0" applyNumberFormat="1" applyFont="1" applyBorder="1" applyAlignment="1">
      <alignment horizontal="center"/>
    </xf>
    <xf numFmtId="1" fontId="46" fillId="0" borderId="13" xfId="0" applyNumberFormat="1" applyFont="1" applyFill="1" applyBorder="1" applyAlignment="1">
      <alignment horizontal="center"/>
    </xf>
    <xf numFmtId="2" fontId="46" fillId="0" borderId="13" xfId="0" applyNumberFormat="1" applyFont="1" applyFill="1" applyBorder="1" applyAlignment="1">
      <alignment horizontal="center"/>
    </xf>
    <xf numFmtId="2" fontId="47" fillId="0" borderId="4" xfId="1" applyNumberFormat="1" applyFont="1" applyFill="1" applyBorder="1" applyAlignment="1">
      <alignment horizontal="center" vertical="center"/>
    </xf>
    <xf numFmtId="1" fontId="47" fillId="0" borderId="4" xfId="1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wrapText="1"/>
    </xf>
    <xf numFmtId="1" fontId="45" fillId="0" borderId="0" xfId="1" applyNumberFormat="1" applyFont="1" applyFill="1" applyAlignment="1">
      <alignment horizontal="center" vertical="center"/>
    </xf>
    <xf numFmtId="0" fontId="45" fillId="0" borderId="0" xfId="1" applyFont="1" applyFill="1" applyAlignment="1">
      <alignment horizontal="center" vertical="center"/>
    </xf>
    <xf numFmtId="2" fontId="45" fillId="0" borderId="0" xfId="1" applyNumberFormat="1" applyFont="1" applyFill="1" applyAlignment="1">
      <alignment horizontal="center" vertical="center"/>
    </xf>
    <xf numFmtId="1" fontId="45" fillId="0" borderId="10" xfId="1" applyNumberFormat="1" applyFont="1" applyFill="1" applyBorder="1" applyAlignment="1">
      <alignment horizontal="center" vertical="center"/>
    </xf>
    <xf numFmtId="2" fontId="45" fillId="0" borderId="10" xfId="1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45" fillId="0" borderId="10" xfId="1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46" fillId="10" borderId="13" xfId="0" applyNumberFormat="1" applyFont="1" applyFill="1" applyBorder="1" applyAlignment="1">
      <alignment horizontal="center"/>
    </xf>
    <xf numFmtId="2" fontId="46" fillId="10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 vertical="center"/>
    </xf>
    <xf numFmtId="15" fontId="40" fillId="0" borderId="0" xfId="0" quotePrefix="1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10" fillId="5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15" fontId="12" fillId="2" borderId="0" xfId="0" quotePrefix="1" applyNumberFormat="1" applyFont="1" applyFill="1" applyAlignment="1">
      <alignment horizontal="center"/>
    </xf>
    <xf numFmtId="0" fontId="25" fillId="7" borderId="0" xfId="0" applyFont="1" applyFill="1" applyAlignment="1">
      <alignment horizontal="center"/>
    </xf>
    <xf numFmtId="15" fontId="22" fillId="7" borderId="0" xfId="0" quotePrefix="1" applyNumberFormat="1" applyFont="1" applyFill="1" applyAlignment="1">
      <alignment horizontal="center"/>
    </xf>
    <xf numFmtId="15" fontId="22" fillId="7" borderId="0" xfId="0" applyNumberFormat="1" applyFont="1" applyFill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7" fillId="8" borderId="9" xfId="0" applyFont="1" applyFill="1" applyBorder="1" applyAlignment="1">
      <alignment horizontal="center"/>
    </xf>
    <xf numFmtId="0" fontId="27" fillId="8" borderId="2" xfId="0" applyFont="1" applyFill="1" applyBorder="1" applyAlignment="1">
      <alignment horizontal="center"/>
    </xf>
    <xf numFmtId="165" fontId="22" fillId="7" borderId="0" xfId="0" quotePrefix="1" applyNumberFormat="1" applyFont="1" applyFill="1" applyAlignment="1">
      <alignment horizontal="center"/>
    </xf>
    <xf numFmtId="0" fontId="21" fillId="7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15" fontId="20" fillId="4" borderId="0" xfId="0" quotePrefix="1" applyNumberFormat="1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15" fontId="12" fillId="9" borderId="0" xfId="0" quotePrefix="1" applyNumberFormat="1" applyFont="1" applyFill="1" applyAlignment="1">
      <alignment horizontal="center"/>
    </xf>
    <xf numFmtId="0" fontId="36" fillId="8" borderId="0" xfId="0" applyFont="1" applyFill="1" applyAlignment="1">
      <alignment horizontal="left"/>
    </xf>
    <xf numFmtId="0" fontId="33" fillId="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5" fontId="28" fillId="7" borderId="0" xfId="0" quotePrefix="1" applyNumberFormat="1" applyFont="1" applyFill="1" applyBorder="1" applyAlignment="1">
      <alignment horizontal="center"/>
    </xf>
    <xf numFmtId="15" fontId="28" fillId="7" borderId="0" xfId="0" applyNumberFormat="1" applyFont="1" applyFill="1" applyBorder="1" applyAlignment="1">
      <alignment horizontal="center"/>
    </xf>
    <xf numFmtId="49" fontId="35" fillId="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8" borderId="0" xfId="0" applyFont="1" applyFill="1" applyAlignment="1"/>
    <xf numFmtId="0" fontId="21" fillId="6" borderId="0" xfId="0" applyFont="1" applyFill="1" applyAlignment="1">
      <alignment horizontal="center"/>
    </xf>
    <xf numFmtId="15" fontId="22" fillId="6" borderId="0" xfId="0" quotePrefix="1" applyNumberFormat="1" applyFont="1" applyFill="1" applyAlignment="1">
      <alignment horizontal="center"/>
    </xf>
    <xf numFmtId="0" fontId="16" fillId="3" borderId="0" xfId="0" applyFont="1" applyFill="1" applyAlignment="1"/>
    <xf numFmtId="0" fontId="30" fillId="3" borderId="0" xfId="0" applyFont="1" applyFill="1" applyAlignment="1">
      <alignment horizontal="center"/>
    </xf>
    <xf numFmtId="17" fontId="31" fillId="3" borderId="0" xfId="0" quotePrefix="1" applyNumberFormat="1" applyFont="1" applyFill="1" applyAlignment="1">
      <alignment horizontal="center"/>
    </xf>
    <xf numFmtId="0" fontId="31" fillId="3" borderId="0" xfId="0" applyFont="1" applyFill="1" applyAlignment="1">
      <alignment horizontal="center"/>
    </xf>
  </cellXfs>
  <cellStyles count="18">
    <cellStyle name="Normal" xfId="0" builtinId="0"/>
    <cellStyle name="Normal 2" xfId="2"/>
    <cellStyle name="Normal 3" xfId="3"/>
    <cellStyle name="Normal 3 2" xfId="11"/>
    <cellStyle name="Normal 4" xfId="4"/>
    <cellStyle name="Normal 4 2" xfId="12"/>
    <cellStyle name="Normal 5" xfId="5"/>
    <cellStyle name="Normal 5 2" xfId="7"/>
    <cellStyle name="Normal 5 2 2" xfId="15"/>
    <cellStyle name="Normal 5 3" xfId="13"/>
    <cellStyle name="Normal 6" xfId="6"/>
    <cellStyle name="Normal 6 2" xfId="14"/>
    <cellStyle name="Normal 7" xfId="8"/>
    <cellStyle name="Normal 7 2" xfId="16"/>
    <cellStyle name="Normal 8" xfId="9"/>
    <cellStyle name="Normal 8 2" xfId="17"/>
    <cellStyle name="Normal 9" xfId="10"/>
    <cellStyle name="Normal_Havasu1" xfId="1"/>
  </cellStyles>
  <dxfs count="1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rgb="FFDCE6F1"/>
          <bgColor rgb="FFDCE6F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indexed="9"/>
        <name val="Arial"/>
        <scheme val="none"/>
      </font>
      <fill>
        <patternFill patternType="solid">
          <fgColor indexed="64"/>
          <bgColor indexed="1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rgb="FFDCE6F1"/>
          <bgColor rgb="FFDCE6F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rgb="FFDCE6F1"/>
          <bgColor rgb="FFDCE6F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rgb="FFDCE6F1"/>
          <bgColor rgb="FFDCE6F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rgb="FFDCE6F1"/>
          <bgColor rgb="FFDCE6F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rgb="FFDCE6F1"/>
          <bgColor rgb="FFDCE6F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rgb="FFDCE6F1"/>
          <bgColor rgb="FFDCE6F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rgb="FFFFFFFF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rgb="FFFFFFFF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rgb="FFFFFFFF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rgb="FFFFFFFF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rgb="FFFFFFFF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rgb="FFFFFFFF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rgb="FFFFFFFF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rgb="FF00206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  <color rgb="FFFFFF66"/>
      <color rgb="FFFFFF99"/>
      <color rgb="FFFE0000"/>
      <color rgb="FF063EBA"/>
      <color rgb="FF3D2E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table1" ref="B3:H55" totalsRowShown="0" headerRowDxfId="190" dataDxfId="189" tableBorderDxfId="188">
  <autoFilter ref="B3:H55"/>
  <sortState ref="B4:H37">
    <sortCondition descending="1" ref="G3:G37"/>
  </sortState>
  <tableColumns count="7">
    <tableColumn id="1" name="Name" dataDxfId="187"/>
    <tableColumn id="2" name="Number of Fish" dataDxfId="186"/>
    <tableColumn id="3" name="Big Fish" dataDxfId="185"/>
    <tableColumn id="4" name="Total Weight" dataDxfId="184"/>
    <tableColumn id="5" name="Penalty" dataDxfId="183"/>
    <tableColumn id="6" name="Net Weight" dataDxfId="182">
      <calculatedColumnFormula>E4-F4</calculatedColumnFormula>
    </tableColumn>
    <tableColumn id="9" name="Total Points" dataDxfId="181">
      <calculatedColumnFormula>IF(A4&lt;31,33-A4,2)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4" name="table10" displayName="table10" ref="B3:H53" totalsRowShown="0" headerRowDxfId="93" dataDxfId="92" tableBorderDxfId="91">
  <autoFilter ref="B3:H53"/>
  <tableColumns count="7">
    <tableColumn id="1" name="Name" dataDxfId="90"/>
    <tableColumn id="2" name="Number of Fish" dataDxfId="89"/>
    <tableColumn id="3" name="Big Fish" dataDxfId="88"/>
    <tableColumn id="4" name="Total Weight" dataDxfId="87"/>
    <tableColumn id="5" name="Penalty" dataDxfId="86"/>
    <tableColumn id="6" name="Net Weight" dataDxfId="85">
      <calculatedColumnFormula>E4-F4</calculatedColumnFormula>
    </tableColumn>
    <tableColumn id="9" name="Total Points" dataDxfId="84">
      <calculatedColumnFormula>IF(C4&gt;0,33-A4,2)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5" name="TOC" displayName="TOC" ref="B4:G14" totalsRowShown="0" headerRowDxfId="83" dataDxfId="82" tableBorderDxfId="81">
  <autoFilter ref="B4:G14"/>
  <tableColumns count="6">
    <tableColumn id="1" name="Name" dataDxfId="80"/>
    <tableColumn id="2" name="Number of Fish" dataDxfId="79"/>
    <tableColumn id="3" name="Big Fish" dataDxfId="78"/>
    <tableColumn id="4" name="Total Weight" dataDxfId="77"/>
    <tableColumn id="5" name="Penalty" dataDxfId="76"/>
    <tableColumn id="6" name="Net Weight" dataDxfId="75">
      <calculatedColumnFormula>E5-F5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8" name="Table18" displayName="Table18" ref="B3:N73" totalsRowShown="0" headerRowDxfId="74" dataDxfId="73">
  <autoFilter ref="B3:N73">
    <filterColumn colId="1">
      <filters>
        <filter val="0.00"/>
        <filter val="1.37"/>
        <filter val="1.80"/>
        <filter val="1.97"/>
        <filter val="1.98"/>
        <filter val="2.11"/>
        <filter val="2.15"/>
        <filter val="2.20"/>
        <filter val="2.25"/>
        <filter val="2.28"/>
        <filter val="2.35"/>
        <filter val="2.43"/>
        <filter val="2.46"/>
        <filter val="2.53"/>
        <filter val="2.56"/>
        <filter val="2.62"/>
        <filter val="2.63"/>
        <filter val="2.65"/>
        <filter val="2.66"/>
        <filter val="2.67"/>
        <filter val="2.72"/>
        <filter val="2.80"/>
        <filter val="2.85"/>
        <filter val="2.96"/>
        <filter val="3.05"/>
        <filter val="3.06"/>
        <filter val="3.08"/>
        <filter val="3.21"/>
        <filter val="3.47"/>
        <filter val="3.50"/>
        <filter val="3.76"/>
        <filter val="3.98"/>
        <filter val="4.92"/>
        <filter val="5.15"/>
        <filter val="6.12"/>
      </filters>
    </filterColumn>
  </autoFilter>
  <sortState ref="B4:N43">
    <sortCondition descending="1" ref="N3:N73"/>
  </sortState>
  <tableColumns count="13">
    <tableColumn id="1" name="Angler" dataDxfId="72"/>
    <tableColumn id="2" name="Big Fish" dataDxfId="71">
      <calculatedColumnFormula>IFERROR(VLOOKUP(B4,Table16[],12,FALSE),0)</calculatedColumnFormula>
    </tableColumn>
    <tableColumn id="3" name="Otay" dataDxfId="70">
      <calculatedColumnFormula>IFERROR(VLOOKUP($B4,table1[],7, 0),"-")</calculatedColumnFormula>
    </tableColumn>
    <tableColumn id="4" name="Otay2" dataDxfId="69">
      <calculatedColumnFormula>IFERROR(VLOOKUP($B4,table2[],7, 0),"-")</calculatedColumnFormula>
    </tableColumn>
    <tableColumn id="5" name="San V Night" dataDxfId="68">
      <calculatedColumnFormula>IFERROR(VLOOKUP($B4,table3[],7, 0),"-")</calculatedColumnFormula>
    </tableColumn>
    <tableColumn id="6" name="Otay Night" dataDxfId="67">
      <calculatedColumnFormula>IFERROR(VLOOKUP($B4,table4[],7, 0),"-")</calculatedColumnFormula>
    </tableColumn>
    <tableColumn id="7" name="Hodges" dataDxfId="66">
      <calculatedColumnFormula>IFERROR(VLOOKUP($B4,table5[],7, 0),"-")</calculatedColumnFormula>
    </tableColumn>
    <tableColumn id="8" name="El Cap" dataDxfId="65">
      <calculatedColumnFormula>IFERROR(VLOOKUP($B4,table6[],7, 0),"-")</calculatedColumnFormula>
    </tableColumn>
    <tableColumn id="9" name="Lower River" dataDxfId="64">
      <calculatedColumnFormula>IFERROR(VLOOKUP($B4,table7[],7, 0),"-")</calculatedColumnFormula>
    </tableColumn>
    <tableColumn id="10" name="El Cap 2" dataDxfId="63">
      <calculatedColumnFormula>IFERROR(VLOOKUP($B4,table8[],7, 0),"-")</calculatedColumnFormula>
    </tableColumn>
    <tableColumn id="11" name="Otay 3" dataDxfId="62">
      <calculatedColumnFormula>IFERROR(VLOOKUP($B4,table9[],15, 0),"-")</calculatedColumnFormula>
    </tableColumn>
    <tableColumn id="12" name="Otay 4" dataDxfId="61">
      <calculatedColumnFormula>IFERROR(VLOOKUP($B4,table10[],7, 0),"-")</calculatedColumnFormula>
    </tableColumn>
    <tableColumn id="13" name="Points" dataDxfId="60">
      <calculatedColumnFormula>SUM(D4:M4)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6" name="Table16" displayName="Table16" ref="A1:L77" totalsRowShown="0" headerRowDxfId="59">
  <autoFilter ref="A1:L77"/>
  <sortState ref="A2:L77">
    <sortCondition descending="1" ref="L1:L77"/>
  </sortState>
  <tableColumns count="12">
    <tableColumn id="1" name="Angler" dataDxfId="58"/>
    <tableColumn id="2" name="Otay" dataDxfId="57">
      <calculatedColumnFormula>IFERROR(VLOOKUP($A2,table1[],3,FALSE),"-")</calculatedColumnFormula>
    </tableColumn>
    <tableColumn id="3" name="Otay2" dataDxfId="56">
      <calculatedColumnFormula>IFERROR(VLOOKUP($A2,table2[],3,FALSE),"-")</calculatedColumnFormula>
    </tableColumn>
    <tableColumn id="4" name="San V Night" dataDxfId="55">
      <calculatedColumnFormula>IFERROR(VLOOKUP($A2,table3[],3,FALSE),"-")</calculatedColumnFormula>
    </tableColumn>
    <tableColumn id="5" name="Otay Night" dataDxfId="54">
      <calculatedColumnFormula>IFERROR(VLOOKUP($A2,table4[],3,FALSE),"-")</calculatedColumnFormula>
    </tableColumn>
    <tableColumn id="6" name="Hodges" dataDxfId="53">
      <calculatedColumnFormula>IFERROR(VLOOKUP($A2,table5[],3,FALSE),"-")</calculatedColumnFormula>
    </tableColumn>
    <tableColumn id="7" name="El Cap" dataDxfId="52">
      <calculatedColumnFormula>IFERROR(VLOOKUP($A2,table6[],3,FALSE),"-")</calculatedColumnFormula>
    </tableColumn>
    <tableColumn id="8" name="Lower River" dataDxfId="51">
      <calculatedColumnFormula>IFERROR(VLOOKUP($A2,table7[],12,FALSE),"-")</calculatedColumnFormula>
    </tableColumn>
    <tableColumn id="9" name="El Cap 2" dataDxfId="50">
      <calculatedColumnFormula>IFERROR(VLOOKUP($A2,table8[],3,FALSE),"-")</calculatedColumnFormula>
    </tableColumn>
    <tableColumn id="10" name="Otay 3" dataDxfId="49">
      <calculatedColumnFormula>IFERROR(VLOOKUP($A2,table9[],3,FALSE),"-")</calculatedColumnFormula>
    </tableColumn>
    <tableColumn id="11" name="Otay 4" dataDxfId="48">
      <calculatedColumnFormula>IFERROR(VLOOKUP($A2,table10[],3,FALSE),"-")</calculatedColumnFormula>
    </tableColumn>
    <tableColumn id="12" name="Biggest" dataDxfId="47">
      <calculatedColumnFormula>MAX(Table16[[#This Row],[Otay]:[Otay 4]])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1" name="Table2791112" displayName="Table2791112" ref="B3:H53" totalsRowShown="0" headerRowDxfId="46" dataDxfId="45" tableBorderDxfId="44">
  <autoFilter ref="B3:H53"/>
  <tableColumns count="7">
    <tableColumn id="1" name="Name" dataDxfId="43"/>
    <tableColumn id="2" name="Number of Fish" dataDxfId="42"/>
    <tableColumn id="3" name="Big Fish" dataDxfId="41"/>
    <tableColumn id="4" name="Total Weight" dataDxfId="40"/>
    <tableColumn id="5" name="Penalty" dataDxfId="39"/>
    <tableColumn id="6" name="Net Weight" dataDxfId="38">
      <calculatedColumnFormula>E4-F4</calculatedColumnFormula>
    </tableColumn>
    <tableColumn id="9" name="Total Points" dataDxfId="37">
      <calculatedColumnFormula>IF(A4&lt;31,33-A4,2)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9" name="Table510" displayName="Table510" ref="B4:P55" totalsRowShown="0" headerRowDxfId="36" dataDxfId="35" tableBorderDxfId="34" dataCellStyle="Normal_Havasu1">
  <autoFilter ref="B4:P55"/>
  <tableColumns count="15">
    <tableColumn id="1" name="Name" dataDxfId="33"/>
    <tableColumn id="2" name="Number of Fish" dataDxfId="32" dataCellStyle="Normal_Havasu1"/>
    <tableColumn id="3" name="Big Fish" dataDxfId="31" dataCellStyle="Normal_Havasu1"/>
    <tableColumn id="4" name="Total Weight" dataDxfId="30" dataCellStyle="Normal_Havasu1"/>
    <tableColumn id="5" name="Penalty" dataDxfId="29" dataCellStyle="Normal_Havasu1"/>
    <tableColumn id="6" name="Net Weight" dataDxfId="28" dataCellStyle="Normal_Havasu1">
      <calculatedColumnFormula>SUM(E5-F5)</calculatedColumnFormula>
    </tableColumn>
    <tableColumn id="7" name="Number of Fish2" dataDxfId="27" dataCellStyle="Normal_Havasu1"/>
    <tableColumn id="8" name="Big Fish2" dataDxfId="26" dataCellStyle="Normal_Havasu1"/>
    <tableColumn id="9" name="Total Weight2" dataDxfId="25" dataCellStyle="Normal_Havasu1"/>
    <tableColumn id="10" name="Penalty2" dataDxfId="24" dataCellStyle="Normal_Havasu1"/>
    <tableColumn id="11" name="Net Weight2" dataDxfId="23" dataCellStyle="Normal_Havasu1">
      <calculatedColumnFormula>SUM(J5-K5)</calculatedColumnFormula>
    </tableColumn>
    <tableColumn id="12" name="BIGGEST FISH" dataDxfId="22" dataCellStyle="Normal_Havasu1">
      <calculatedColumnFormula>MAX(D5,I5)</calculatedColumnFormula>
    </tableColumn>
    <tableColumn id="13" name="FISH COUNT" dataDxfId="21" dataCellStyle="Normal_Havasu1">
      <calculatedColumnFormula>SUM(C5+H5)</calculatedColumnFormula>
    </tableColumn>
    <tableColumn id="14" name="WEIGHT" dataDxfId="20" dataCellStyle="Normal_Havasu1">
      <calculatedColumnFormula>SUM(G5+L5)</calculatedColumnFormula>
    </tableColumn>
    <tableColumn id="15" name="POINTS" dataDxfId="19" dataCellStyle="Normal_Havasu1">
      <calculatedColumnFormula>IF(A5&lt;31,33-A5,2)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2" displayName="table2" ref="B4:H55" totalsRowShown="0" headerRowDxfId="180" dataDxfId="178" headerRowBorderDxfId="179" dataCellStyle="Normal_Havasu1">
  <autoFilter ref="B4:H55"/>
  <tableColumns count="7">
    <tableColumn id="1" name="Name" dataDxfId="177" dataCellStyle="Normal_Havasu1"/>
    <tableColumn id="2" name="Number of Fish" dataDxfId="176" dataCellStyle="Normal_Havasu1"/>
    <tableColumn id="3" name="Big Fish" dataDxfId="175" dataCellStyle="Normal_Havasu1"/>
    <tableColumn id="4" name="Total Weight" dataDxfId="174" dataCellStyle="Normal_Havasu1"/>
    <tableColumn id="5" name="Penalty" dataDxfId="173" dataCellStyle="Normal_Havasu1"/>
    <tableColumn id="6" name="Net Weight" dataDxfId="172" dataCellStyle="Normal_Havasu1">
      <calculatedColumnFormula>SUM(E5-F5)</calculatedColumnFormula>
    </tableColumn>
    <tableColumn id="15" name="POINTS" dataDxfId="171" dataCellStyle="Normal_Havasu1">
      <calculatedColumnFormula>IF(A5&lt;31,33-A5,2)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3:H30" totalsRowShown="0" headerRowDxfId="170" dataDxfId="169">
  <autoFilter ref="B3:H30"/>
  <sortState ref="B4:H54">
    <sortCondition descending="1" ref="G3:G54"/>
  </sortState>
  <tableColumns count="7">
    <tableColumn id="1" name="Name" dataDxfId="168" dataCellStyle="Normal 5"/>
    <tableColumn id="2" name="Number of Fish" dataDxfId="167"/>
    <tableColumn id="3" name="Big Fish" dataDxfId="166"/>
    <tableColumn id="4" name="Total Weight" dataDxfId="165"/>
    <tableColumn id="5" name="Penalty" dataDxfId="164"/>
    <tableColumn id="6" name="Net Weight" dataDxfId="163">
      <calculatedColumnFormula>E4-F4</calculatedColumnFormula>
    </tableColumn>
    <tableColumn id="7" name="Total Points" dataDxfId="162">
      <calculatedColumnFormula>IF(G4=0,"2",IF(A4&lt;31,33-A4,2))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0" name="table4" displayName="table4" ref="B3:H54" totalsRowShown="0" headerRowDxfId="161" dataDxfId="160" tableBorderDxfId="159">
  <autoFilter ref="B3:H54"/>
  <tableColumns count="7">
    <tableColumn id="1" name="Name" dataDxfId="158"/>
    <tableColumn id="2" name="Number of Fish" dataDxfId="157"/>
    <tableColumn id="3" name="Big Fish" dataDxfId="156"/>
    <tableColumn id="4" name="Total Weight" dataDxfId="155"/>
    <tableColumn id="5" name="Penalty" dataDxfId="154"/>
    <tableColumn id="6" name="Net Weight" dataDxfId="153">
      <calculatedColumnFormula>E4-F4</calculatedColumnFormula>
    </tableColumn>
    <tableColumn id="9" name="Total Points" dataDxfId="152">
      <calculatedColumnFormula>IF(table4[[#This Row],[Net Weight]]&gt;0,IF(A4&lt;31,33-A4,2),2)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5" displayName="table5" ref="B3:H34" totalsRowShown="0" headerRowDxfId="151" dataDxfId="150" tableBorderDxfId="149">
  <autoFilter ref="B3:H34"/>
  <sortState ref="B4:H53">
    <sortCondition descending="1" ref="G3:G53"/>
  </sortState>
  <tableColumns count="7">
    <tableColumn id="1" name="Name" dataDxfId="148"/>
    <tableColumn id="2" name="Number of Fish" dataDxfId="147"/>
    <tableColumn id="3" name="Big Fish" dataDxfId="146"/>
    <tableColumn id="4" name="Total Weight" dataDxfId="145"/>
    <tableColumn id="5" name="Penalty" dataDxfId="144"/>
    <tableColumn id="6" name="Net Weight" dataDxfId="143">
      <calculatedColumnFormula>E4-F4</calculatedColumnFormula>
    </tableColumn>
    <tableColumn id="9" name="Total Points" dataDxfId="142">
      <calculatedColumnFormula>IF(table5[[#This Row],[Net Weight]]&gt;0,IF(A4&lt;31,33-A4,2),2)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3" name="table6" displayName="table6" ref="B3:H53" totalsRowShown="0" headerRowDxfId="141" dataDxfId="140" tableBorderDxfId="139">
  <autoFilter ref="B3:H53"/>
  <tableColumns count="7">
    <tableColumn id="1" name="Name" dataDxfId="138"/>
    <tableColumn id="2" name="Number of Fish" dataDxfId="137"/>
    <tableColumn id="3" name="Big Fish" dataDxfId="136"/>
    <tableColumn id="4" name="Total Weight" dataDxfId="135"/>
    <tableColumn id="5" name="Penalty" dataDxfId="134"/>
    <tableColumn id="6" name="Net Weight" dataDxfId="133">
      <calculatedColumnFormula>E4-F4</calculatedColumnFormula>
    </tableColumn>
    <tableColumn id="9" name="Total Points" dataDxfId="132">
      <calculatedColumnFormula>IF(table6[[#This Row],[Net Weight]]&gt;0,IF(A4&lt;31,33-A4,2),2)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7" name="table7" displayName="table7" ref="B4:P54" totalsRowShown="0" headerRowDxfId="131" dataDxfId="130" tableBorderDxfId="129" dataCellStyle="Normal_Havasu1">
  <autoFilter ref="B4:P54"/>
  <sortState ref="B5:P55">
    <sortCondition descending="1" ref="O4:O55"/>
  </sortState>
  <tableColumns count="15">
    <tableColumn id="1" name="Name" dataDxfId="128"/>
    <tableColumn id="2" name="Number of Fish" dataDxfId="127" dataCellStyle="Normal_Havasu1"/>
    <tableColumn id="3" name="Big Fish" dataDxfId="126" dataCellStyle="Normal_Havasu1"/>
    <tableColumn id="4" name="Total Weight" dataDxfId="125" dataCellStyle="Normal_Havasu1"/>
    <tableColumn id="5" name="Penalty" dataDxfId="124" dataCellStyle="Normal_Havasu1"/>
    <tableColumn id="6" name="Net Weight" dataDxfId="123" dataCellStyle="Normal_Havasu1">
      <calculatedColumnFormula>SUM(E5-F5)</calculatedColumnFormula>
    </tableColumn>
    <tableColumn id="7" name="Number of Fish2" dataDxfId="122" dataCellStyle="Normal_Havasu1"/>
    <tableColumn id="8" name="Big Fish2" dataDxfId="121" dataCellStyle="Normal_Havasu1"/>
    <tableColumn id="9" name="Total Weight2" dataDxfId="120" dataCellStyle="Normal_Havasu1"/>
    <tableColumn id="10" name="Penalty2" dataDxfId="119" dataCellStyle="Normal_Havasu1"/>
    <tableColumn id="11" name="Net Weight2" dataDxfId="118" dataCellStyle="Normal_Havasu1">
      <calculatedColumnFormula>SUM(J5-K5)</calculatedColumnFormula>
    </tableColumn>
    <tableColumn id="12" name="BIGGEST FISH" dataDxfId="117" dataCellStyle="Normal_Havasu1">
      <calculatedColumnFormula>MAX(D5,I5)</calculatedColumnFormula>
    </tableColumn>
    <tableColumn id="13" name="FISH COUNT" dataDxfId="116" dataCellStyle="Normal_Havasu1">
      <calculatedColumnFormula>SUM(C5+H5)</calculatedColumnFormula>
    </tableColumn>
    <tableColumn id="14" name="WEIGHT" dataDxfId="115" dataCellStyle="Normal_Havasu1">
      <calculatedColumnFormula>SUM(G5+L5)</calculatedColumnFormula>
    </tableColumn>
    <tableColumn id="15" name="POINTS" dataDxfId="114" dataCellStyle="Normal_Havasu1">
      <calculatedColumnFormula>IF(N5&gt;0,33-A5,2)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2" name="table8" displayName="table8" ref="B3:H53" totalsRowShown="0" headerRowDxfId="113" dataDxfId="112" tableBorderDxfId="111">
  <autoFilter ref="B3:H53"/>
  <tableColumns count="7">
    <tableColumn id="1" name="Name" dataDxfId="110"/>
    <tableColumn id="2" name="Number of Fish" dataDxfId="109"/>
    <tableColumn id="3" name="Big Fish" dataDxfId="108"/>
    <tableColumn id="4" name="Total Weight" dataDxfId="107"/>
    <tableColumn id="5" name="Penalty" dataDxfId="106"/>
    <tableColumn id="6" name="Net Weight" dataDxfId="105">
      <calculatedColumnFormula>E4-F4</calculatedColumnFormula>
    </tableColumn>
    <tableColumn id="9" name="Total Points" dataDxfId="104">
      <calculatedColumnFormula>IF(table8[[#This Row],[Net Weight]]&gt;0,IF(A4&lt;31,33-A4,2),2)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" name="table9" displayName="table9" ref="B3:H53" totalsRowShown="0" headerRowDxfId="103" dataDxfId="102" tableBorderDxfId="101">
  <autoFilter ref="B3:H53"/>
  <tableColumns count="7">
    <tableColumn id="1" name="Name" dataDxfId="100"/>
    <tableColumn id="2" name="Number of Fish" dataDxfId="99"/>
    <tableColumn id="3" name="Big Fish" dataDxfId="98"/>
    <tableColumn id="4" name="Total Weight" dataDxfId="97"/>
    <tableColumn id="5" name="Penalty" dataDxfId="96"/>
    <tableColumn id="6" name="Net Weight" dataDxfId="95">
      <calculatedColumnFormula>E4-F4</calculatedColumnFormula>
    </tableColumn>
    <tableColumn id="9" name="Total Points" dataDxfId="94">
      <calculatedColumnFormula>IF(C4&gt;0,33-A4,2)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B3" sqref="B3"/>
    </sheetView>
  </sheetViews>
  <sheetFormatPr defaultRowHeight="12.75" x14ac:dyDescent="0.2"/>
  <cols>
    <col min="1" max="1" width="9.140625" style="25"/>
    <col min="2" max="2" width="52.42578125" customWidth="1"/>
    <col min="3" max="3" width="17.5703125" customWidth="1"/>
    <col min="4" max="4" width="17.5703125" style="25" customWidth="1"/>
    <col min="5" max="5" width="22.42578125" customWidth="1"/>
  </cols>
  <sheetData>
    <row r="1" spans="1:7" ht="29.25" customHeight="1" x14ac:dyDescent="0.2">
      <c r="B1" s="157" t="s">
        <v>237</v>
      </c>
      <c r="C1" s="157"/>
      <c r="D1" s="157"/>
      <c r="E1" s="157"/>
    </row>
    <row r="2" spans="1:7" ht="23.25" x14ac:dyDescent="0.35">
      <c r="B2" s="158" t="s">
        <v>258</v>
      </c>
      <c r="C2" s="159"/>
      <c r="D2" s="159"/>
      <c r="E2" s="159"/>
    </row>
    <row r="4" spans="1:7" ht="18" x14ac:dyDescent="0.25">
      <c r="B4" s="76"/>
      <c r="C4" s="76"/>
      <c r="D4" s="76" t="s">
        <v>58</v>
      </c>
      <c r="E4" s="76" t="s">
        <v>182</v>
      </c>
    </row>
    <row r="5" spans="1:7" ht="18" x14ac:dyDescent="0.25">
      <c r="A5" s="77" t="s">
        <v>183</v>
      </c>
      <c r="B5" s="77" t="s">
        <v>111</v>
      </c>
      <c r="C5" s="77" t="s">
        <v>181</v>
      </c>
      <c r="D5" s="77" t="s">
        <v>59</v>
      </c>
      <c r="E5" s="77" t="s">
        <v>60</v>
      </c>
    </row>
    <row r="7" spans="1:7" ht="15.75" x14ac:dyDescent="0.25">
      <c r="A7" s="7">
        <v>1</v>
      </c>
      <c r="B7" s="59"/>
      <c r="C7" s="21"/>
      <c r="D7" s="20"/>
      <c r="E7" s="21"/>
      <c r="G7" t="e">
        <f>E7/D7</f>
        <v>#DIV/0!</v>
      </c>
    </row>
    <row r="8" spans="1:7" ht="15.75" x14ac:dyDescent="0.25">
      <c r="A8" s="7">
        <v>2</v>
      </c>
      <c r="B8" s="59"/>
      <c r="C8" s="21"/>
      <c r="D8" s="20"/>
      <c r="E8" s="21"/>
    </row>
    <row r="9" spans="1:7" ht="15.75" x14ac:dyDescent="0.25">
      <c r="A9" s="7">
        <v>3</v>
      </c>
      <c r="B9" s="59"/>
      <c r="C9" s="21"/>
      <c r="D9" s="20"/>
      <c r="E9" s="21"/>
    </row>
    <row r="10" spans="1:7" ht="15.75" x14ac:dyDescent="0.25">
      <c r="A10" s="7">
        <v>4</v>
      </c>
      <c r="B10" s="59"/>
      <c r="C10" s="21"/>
      <c r="D10" s="20"/>
      <c r="E10" s="21"/>
    </row>
    <row r="11" spans="1:7" ht="15.75" x14ac:dyDescent="0.25">
      <c r="A11" s="7">
        <v>5</v>
      </c>
      <c r="B11" s="59"/>
      <c r="C11" s="21"/>
      <c r="D11" s="20"/>
      <c r="E11" s="21"/>
    </row>
    <row r="12" spans="1:7" ht="15.75" x14ac:dyDescent="0.25">
      <c r="A12" s="7">
        <v>6</v>
      </c>
      <c r="B12" s="59"/>
      <c r="C12" s="21"/>
      <c r="D12" s="20"/>
      <c r="E12" s="21"/>
    </row>
    <row r="13" spans="1:7" ht="15.75" x14ac:dyDescent="0.25">
      <c r="A13" s="7">
        <v>7</v>
      </c>
      <c r="B13" s="59"/>
      <c r="C13" s="21"/>
      <c r="D13" s="20"/>
      <c r="E13" s="21"/>
    </row>
    <row r="14" spans="1:7" ht="15.75" x14ac:dyDescent="0.25">
      <c r="A14" s="7">
        <v>8</v>
      </c>
      <c r="B14" s="59"/>
      <c r="C14" s="21"/>
      <c r="D14" s="20"/>
      <c r="E14" s="21"/>
    </row>
    <row r="15" spans="1:7" ht="15.75" x14ac:dyDescent="0.25">
      <c r="A15" s="7">
        <v>9</v>
      </c>
      <c r="B15" s="59"/>
      <c r="C15" s="21"/>
      <c r="D15" s="20"/>
      <c r="E15" s="21"/>
    </row>
    <row r="16" spans="1:7" ht="15.75" x14ac:dyDescent="0.25">
      <c r="A16" s="7">
        <v>10</v>
      </c>
      <c r="B16" s="59"/>
      <c r="C16" s="21"/>
      <c r="D16" s="20"/>
      <c r="E16" s="21"/>
    </row>
    <row r="17" spans="1:6" ht="15.75" x14ac:dyDescent="0.25">
      <c r="A17" s="7">
        <v>11</v>
      </c>
      <c r="B17" s="59"/>
      <c r="C17" s="21"/>
      <c r="D17" s="20"/>
      <c r="E17" s="21"/>
    </row>
    <row r="18" spans="1:6" ht="15.75" x14ac:dyDescent="0.25">
      <c r="A18" s="7">
        <v>12</v>
      </c>
      <c r="B18" s="59"/>
      <c r="C18" s="21"/>
      <c r="D18" s="20"/>
      <c r="E18" s="21"/>
    </row>
    <row r="19" spans="1:6" ht="15.75" x14ac:dyDescent="0.25">
      <c r="A19" s="7">
        <v>13</v>
      </c>
      <c r="B19" s="59"/>
      <c r="C19" s="21"/>
      <c r="D19" s="20"/>
      <c r="E19" s="21"/>
    </row>
    <row r="20" spans="1:6" ht="15.75" x14ac:dyDescent="0.25">
      <c r="A20" s="7">
        <v>14</v>
      </c>
      <c r="B20" s="59"/>
      <c r="C20" s="21"/>
      <c r="D20" s="20"/>
      <c r="E20" s="21"/>
    </row>
    <row r="21" spans="1:6" ht="15.75" x14ac:dyDescent="0.25">
      <c r="A21" s="7">
        <v>15</v>
      </c>
      <c r="B21" s="59"/>
      <c r="C21" s="21"/>
      <c r="D21" s="20"/>
      <c r="E21" s="21"/>
      <c r="F21" t="e">
        <f>E21/D21</f>
        <v>#DIV/0!</v>
      </c>
    </row>
    <row r="22" spans="1:6" ht="15.75" x14ac:dyDescent="0.25">
      <c r="A22" s="7">
        <v>16</v>
      </c>
      <c r="B22" s="59"/>
      <c r="C22" s="21"/>
      <c r="D22" s="20"/>
      <c r="E22" s="21"/>
    </row>
    <row r="23" spans="1:6" ht="15.75" x14ac:dyDescent="0.25">
      <c r="A23" s="7">
        <v>17</v>
      </c>
      <c r="B23" s="59"/>
      <c r="C23" s="21"/>
      <c r="D23" s="20"/>
      <c r="E23" s="21"/>
    </row>
    <row r="25" spans="1:6" ht="15.75" x14ac:dyDescent="0.25">
      <c r="B25" s="9" t="s">
        <v>110</v>
      </c>
      <c r="C25" s="51"/>
      <c r="D25" s="51"/>
      <c r="E25" s="5">
        <f>COUNT(E7:E23)</f>
        <v>0</v>
      </c>
    </row>
    <row r="26" spans="1:6" ht="15.75" x14ac:dyDescent="0.25">
      <c r="B26" s="9" t="s">
        <v>89</v>
      </c>
      <c r="C26" s="51"/>
      <c r="D26" s="51"/>
      <c r="E26" s="20">
        <f>SUM(D7:D23)</f>
        <v>0</v>
      </c>
    </row>
    <row r="27" spans="1:6" ht="15.75" x14ac:dyDescent="0.25">
      <c r="B27" s="9" t="s">
        <v>90</v>
      </c>
      <c r="C27" s="51"/>
      <c r="D27" s="51"/>
      <c r="E27" s="21">
        <f>+SUM(E7:E23)</f>
        <v>0</v>
      </c>
    </row>
    <row r="28" spans="1:6" ht="15.75" x14ac:dyDescent="0.25">
      <c r="B28" s="9" t="s">
        <v>91</v>
      </c>
      <c r="C28" s="51"/>
      <c r="D28" s="51"/>
      <c r="E28" s="21" t="e">
        <f>+E27/E26</f>
        <v>#DIV/0!</v>
      </c>
    </row>
    <row r="29" spans="1:6" ht="15.75" x14ac:dyDescent="0.25">
      <c r="B29" s="9" t="s">
        <v>92</v>
      </c>
      <c r="C29" s="51"/>
      <c r="D29" s="51"/>
      <c r="E29" s="21" t="e">
        <f>+E26/E25</f>
        <v>#DIV/0!</v>
      </c>
    </row>
  </sheetData>
  <sortState ref="B7:D23">
    <sortCondition descending="1" ref="C7:C23"/>
  </sortState>
  <mergeCells count="2">
    <mergeCell ref="B1:E1"/>
    <mergeCell ref="B2:E2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opLeftCell="A28" zoomScale="70" zoomScaleNormal="70" workbookViewId="0">
      <selection activeCell="D13" sqref="D13"/>
    </sheetView>
  </sheetViews>
  <sheetFormatPr defaultColWidth="18.7109375" defaultRowHeight="12.75" x14ac:dyDescent="0.2"/>
  <cols>
    <col min="1" max="1" width="9.7109375" style="2" bestFit="1" customWidth="1"/>
    <col min="2" max="2" width="32.28515625" style="2" customWidth="1"/>
    <col min="3" max="3" width="31.28515625" style="2" bestFit="1" customWidth="1"/>
    <col min="4" max="4" width="21.42578125" style="2" bestFit="1" customWidth="1"/>
    <col min="5" max="5" width="27.7109375" style="2" bestFit="1" customWidth="1"/>
    <col min="6" max="6" width="20.42578125" style="2" bestFit="1" customWidth="1"/>
    <col min="7" max="7" width="25.140625" style="2" bestFit="1" customWidth="1"/>
    <col min="8" max="8" width="27.7109375" style="2" bestFit="1" customWidth="1"/>
    <col min="9" max="16384" width="18.7109375" style="2"/>
  </cols>
  <sheetData>
    <row r="1" spans="1:8" ht="31.5" x14ac:dyDescent="0.6">
      <c r="A1" s="183" t="s">
        <v>284</v>
      </c>
      <c r="B1" s="183"/>
      <c r="C1" s="183"/>
      <c r="D1" s="183"/>
      <c r="E1" s="183"/>
      <c r="F1" s="183"/>
      <c r="G1" s="183"/>
      <c r="H1" s="183"/>
    </row>
    <row r="2" spans="1:8" ht="20.25" x14ac:dyDescent="0.3">
      <c r="A2" s="184" t="s">
        <v>285</v>
      </c>
      <c r="B2" s="184"/>
      <c r="C2" s="184"/>
      <c r="D2" s="184"/>
      <c r="E2" s="184"/>
      <c r="F2" s="184"/>
      <c r="G2" s="184"/>
      <c r="H2" s="184"/>
    </row>
    <row r="3" spans="1:8" ht="15.75" x14ac:dyDescent="0.25">
      <c r="A3" s="87" t="s">
        <v>183</v>
      </c>
      <c r="B3" s="95" t="s">
        <v>22</v>
      </c>
      <c r="C3" s="96" t="s">
        <v>213</v>
      </c>
      <c r="D3" s="97" t="s">
        <v>181</v>
      </c>
      <c r="E3" s="97" t="s">
        <v>214</v>
      </c>
      <c r="F3" s="97" t="s">
        <v>179</v>
      </c>
      <c r="G3" s="97" t="s">
        <v>215</v>
      </c>
      <c r="H3" s="98" t="s">
        <v>216</v>
      </c>
    </row>
    <row r="4" spans="1:8" ht="15" x14ac:dyDescent="0.2">
      <c r="A4" s="89">
        <v>1</v>
      </c>
      <c r="B4" s="30"/>
      <c r="C4" s="89"/>
      <c r="D4" s="90"/>
      <c r="E4" s="90"/>
      <c r="F4" s="90"/>
      <c r="G4" s="90">
        <f t="shared" ref="G4:G53" si="0">E4-F4</f>
        <v>0</v>
      </c>
      <c r="H4" s="28">
        <f>IF(C4&gt;0,33-A4,2)</f>
        <v>2</v>
      </c>
    </row>
    <row r="5" spans="1:8" s="3" customFormat="1" ht="15" x14ac:dyDescent="0.2">
      <c r="A5" s="92">
        <v>2</v>
      </c>
      <c r="B5" s="92"/>
      <c r="C5" s="92"/>
      <c r="D5" s="93"/>
      <c r="E5" s="93"/>
      <c r="F5" s="93"/>
      <c r="G5" s="93">
        <f t="shared" si="0"/>
        <v>0</v>
      </c>
      <c r="H5" s="92">
        <f t="shared" ref="H5:H53" si="1">IF(C5&gt;0,33-A5,2)</f>
        <v>2</v>
      </c>
    </row>
    <row r="6" spans="1:8" s="3" customFormat="1" ht="15" x14ac:dyDescent="0.2">
      <c r="A6" s="89">
        <v>3</v>
      </c>
      <c r="B6" s="89"/>
      <c r="C6" s="89"/>
      <c r="D6" s="90"/>
      <c r="E6" s="90"/>
      <c r="F6" s="90"/>
      <c r="G6" s="90">
        <f t="shared" si="0"/>
        <v>0</v>
      </c>
      <c r="H6" s="28">
        <f t="shared" si="1"/>
        <v>2</v>
      </c>
    </row>
    <row r="7" spans="1:8" s="3" customFormat="1" ht="15" x14ac:dyDescent="0.2">
      <c r="A7" s="92">
        <v>4</v>
      </c>
      <c r="B7" s="92"/>
      <c r="C7" s="92"/>
      <c r="D7" s="93"/>
      <c r="E7" s="93"/>
      <c r="F7" s="93"/>
      <c r="G7" s="93">
        <f t="shared" si="0"/>
        <v>0</v>
      </c>
      <c r="H7" s="92">
        <f t="shared" si="1"/>
        <v>2</v>
      </c>
    </row>
    <row r="8" spans="1:8" s="3" customFormat="1" ht="15" x14ac:dyDescent="0.2">
      <c r="A8" s="89">
        <v>5</v>
      </c>
      <c r="B8" s="89"/>
      <c r="C8" s="89"/>
      <c r="D8" s="90"/>
      <c r="E8" s="90"/>
      <c r="F8" s="90"/>
      <c r="G8" s="90">
        <f t="shared" si="0"/>
        <v>0</v>
      </c>
      <c r="H8" s="28">
        <f t="shared" si="1"/>
        <v>2</v>
      </c>
    </row>
    <row r="9" spans="1:8" s="3" customFormat="1" ht="15" x14ac:dyDescent="0.2">
      <c r="A9" s="92">
        <v>6</v>
      </c>
      <c r="B9" s="92"/>
      <c r="C9" s="92"/>
      <c r="D9" s="93"/>
      <c r="E9" s="93"/>
      <c r="F9" s="93"/>
      <c r="G9" s="93">
        <f t="shared" si="0"/>
        <v>0</v>
      </c>
      <c r="H9" s="92">
        <f t="shared" si="1"/>
        <v>2</v>
      </c>
    </row>
    <row r="10" spans="1:8" s="3" customFormat="1" ht="15" x14ac:dyDescent="0.2">
      <c r="A10" s="89">
        <v>7</v>
      </c>
      <c r="B10" s="89"/>
      <c r="C10" s="89"/>
      <c r="D10" s="90"/>
      <c r="E10" s="90"/>
      <c r="F10" s="90"/>
      <c r="G10" s="90">
        <f t="shared" si="0"/>
        <v>0</v>
      </c>
      <c r="H10" s="28">
        <f t="shared" si="1"/>
        <v>2</v>
      </c>
    </row>
    <row r="11" spans="1:8" ht="15" x14ac:dyDescent="0.2">
      <c r="A11" s="92">
        <v>8</v>
      </c>
      <c r="B11" s="92"/>
      <c r="C11" s="92"/>
      <c r="D11" s="93"/>
      <c r="E11" s="93"/>
      <c r="F11" s="93"/>
      <c r="G11" s="93">
        <f t="shared" si="0"/>
        <v>0</v>
      </c>
      <c r="H11" s="92">
        <f t="shared" si="1"/>
        <v>2</v>
      </c>
    </row>
    <row r="12" spans="1:8" ht="15.75" customHeight="1" x14ac:dyDescent="0.2">
      <c r="A12" s="89">
        <v>9</v>
      </c>
      <c r="B12" s="89"/>
      <c r="C12" s="89"/>
      <c r="D12" s="90"/>
      <c r="E12" s="90"/>
      <c r="F12" s="90"/>
      <c r="G12" s="90">
        <f t="shared" si="0"/>
        <v>0</v>
      </c>
      <c r="H12" s="28">
        <f t="shared" si="1"/>
        <v>2</v>
      </c>
    </row>
    <row r="13" spans="1:8" ht="15" x14ac:dyDescent="0.2">
      <c r="A13" s="92">
        <v>10</v>
      </c>
      <c r="B13" s="92"/>
      <c r="C13" s="92"/>
      <c r="D13" s="93"/>
      <c r="E13" s="93"/>
      <c r="F13" s="93"/>
      <c r="G13" s="93">
        <f t="shared" si="0"/>
        <v>0</v>
      </c>
      <c r="H13" s="92">
        <f t="shared" si="1"/>
        <v>2</v>
      </c>
    </row>
    <row r="14" spans="1:8" ht="15" x14ac:dyDescent="0.2">
      <c r="A14" s="89">
        <v>11</v>
      </c>
      <c r="B14" s="89"/>
      <c r="C14" s="89"/>
      <c r="D14" s="90"/>
      <c r="E14" s="90"/>
      <c r="F14" s="90"/>
      <c r="G14" s="90">
        <f t="shared" si="0"/>
        <v>0</v>
      </c>
      <c r="H14" s="28">
        <f t="shared" si="1"/>
        <v>2</v>
      </c>
    </row>
    <row r="15" spans="1:8" ht="15" x14ac:dyDescent="0.2">
      <c r="A15" s="92">
        <v>12</v>
      </c>
      <c r="B15" s="92"/>
      <c r="C15" s="92"/>
      <c r="D15" s="93"/>
      <c r="E15" s="93"/>
      <c r="F15" s="93"/>
      <c r="G15" s="93">
        <f t="shared" si="0"/>
        <v>0</v>
      </c>
      <c r="H15" s="92">
        <f t="shared" si="1"/>
        <v>2</v>
      </c>
    </row>
    <row r="16" spans="1:8" ht="15" x14ac:dyDescent="0.2">
      <c r="A16" s="89">
        <v>13</v>
      </c>
      <c r="B16" s="89"/>
      <c r="C16" s="89"/>
      <c r="D16" s="90"/>
      <c r="E16" s="90"/>
      <c r="F16" s="90"/>
      <c r="G16" s="90">
        <f t="shared" si="0"/>
        <v>0</v>
      </c>
      <c r="H16" s="28">
        <f t="shared" si="1"/>
        <v>2</v>
      </c>
    </row>
    <row r="17" spans="1:8" ht="15" x14ac:dyDescent="0.2">
      <c r="A17" s="92">
        <v>14</v>
      </c>
      <c r="B17" s="92"/>
      <c r="C17" s="92"/>
      <c r="D17" s="93"/>
      <c r="E17" s="93"/>
      <c r="F17" s="93"/>
      <c r="G17" s="93">
        <f t="shared" si="0"/>
        <v>0</v>
      </c>
      <c r="H17" s="92">
        <f t="shared" si="1"/>
        <v>2</v>
      </c>
    </row>
    <row r="18" spans="1:8" ht="15" x14ac:dyDescent="0.2">
      <c r="A18" s="94">
        <v>15</v>
      </c>
      <c r="B18" s="89"/>
      <c r="C18" s="89"/>
      <c r="D18" s="90"/>
      <c r="E18" s="90"/>
      <c r="F18" s="90"/>
      <c r="G18" s="90">
        <f t="shared" si="0"/>
        <v>0</v>
      </c>
      <c r="H18" s="28">
        <f t="shared" si="1"/>
        <v>2</v>
      </c>
    </row>
    <row r="19" spans="1:8" ht="15" x14ac:dyDescent="0.2">
      <c r="A19" s="92">
        <v>16</v>
      </c>
      <c r="B19" s="92"/>
      <c r="C19" s="92"/>
      <c r="D19" s="93"/>
      <c r="E19" s="93"/>
      <c r="F19" s="93"/>
      <c r="G19" s="93">
        <f t="shared" si="0"/>
        <v>0</v>
      </c>
      <c r="H19" s="92">
        <f t="shared" si="1"/>
        <v>2</v>
      </c>
    </row>
    <row r="20" spans="1:8" ht="15" x14ac:dyDescent="0.2">
      <c r="A20" s="89">
        <v>17</v>
      </c>
      <c r="B20" s="89"/>
      <c r="C20" s="89"/>
      <c r="D20" s="90"/>
      <c r="E20" s="90"/>
      <c r="F20" s="90"/>
      <c r="G20" s="90">
        <f t="shared" si="0"/>
        <v>0</v>
      </c>
      <c r="H20" s="28">
        <f t="shared" si="1"/>
        <v>2</v>
      </c>
    </row>
    <row r="21" spans="1:8" ht="15" x14ac:dyDescent="0.2">
      <c r="A21" s="92">
        <v>18</v>
      </c>
      <c r="B21" s="92"/>
      <c r="C21" s="92"/>
      <c r="D21" s="93"/>
      <c r="E21" s="93"/>
      <c r="F21" s="93"/>
      <c r="G21" s="93">
        <f t="shared" si="0"/>
        <v>0</v>
      </c>
      <c r="H21" s="92">
        <f t="shared" si="1"/>
        <v>2</v>
      </c>
    </row>
    <row r="22" spans="1:8" ht="15" x14ac:dyDescent="0.2">
      <c r="A22" s="89">
        <v>19</v>
      </c>
      <c r="B22" s="89"/>
      <c r="C22" s="89"/>
      <c r="D22" s="90"/>
      <c r="E22" s="90"/>
      <c r="F22" s="90"/>
      <c r="G22" s="90">
        <f t="shared" si="0"/>
        <v>0</v>
      </c>
      <c r="H22" s="28">
        <f t="shared" si="1"/>
        <v>2</v>
      </c>
    </row>
    <row r="23" spans="1:8" ht="15" x14ac:dyDescent="0.2">
      <c r="A23" s="92">
        <v>20</v>
      </c>
      <c r="B23" s="92"/>
      <c r="C23" s="92"/>
      <c r="D23" s="93"/>
      <c r="E23" s="93"/>
      <c r="F23" s="93"/>
      <c r="G23" s="93">
        <f t="shared" si="0"/>
        <v>0</v>
      </c>
      <c r="H23" s="92">
        <f t="shared" si="1"/>
        <v>2</v>
      </c>
    </row>
    <row r="24" spans="1:8" ht="15" x14ac:dyDescent="0.2">
      <c r="A24" s="89">
        <v>21</v>
      </c>
      <c r="B24" s="89"/>
      <c r="C24" s="89"/>
      <c r="D24" s="90"/>
      <c r="E24" s="90"/>
      <c r="F24" s="90"/>
      <c r="G24" s="90">
        <f t="shared" si="0"/>
        <v>0</v>
      </c>
      <c r="H24" s="28">
        <f t="shared" si="1"/>
        <v>2</v>
      </c>
    </row>
    <row r="25" spans="1:8" ht="15" x14ac:dyDescent="0.2">
      <c r="A25" s="92">
        <v>22</v>
      </c>
      <c r="B25" s="92"/>
      <c r="C25" s="92"/>
      <c r="D25" s="93"/>
      <c r="E25" s="93"/>
      <c r="F25" s="93"/>
      <c r="G25" s="93">
        <f t="shared" si="0"/>
        <v>0</v>
      </c>
      <c r="H25" s="92">
        <f t="shared" si="1"/>
        <v>2</v>
      </c>
    </row>
    <row r="26" spans="1:8" ht="15" x14ac:dyDescent="0.2">
      <c r="A26" s="89">
        <v>23</v>
      </c>
      <c r="B26" s="89"/>
      <c r="C26" s="89"/>
      <c r="D26" s="90"/>
      <c r="E26" s="90"/>
      <c r="F26" s="90"/>
      <c r="G26" s="90">
        <f t="shared" si="0"/>
        <v>0</v>
      </c>
      <c r="H26" s="28">
        <f t="shared" si="1"/>
        <v>2</v>
      </c>
    </row>
    <row r="27" spans="1:8" ht="15" x14ac:dyDescent="0.2">
      <c r="A27" s="92">
        <v>24</v>
      </c>
      <c r="B27" s="92"/>
      <c r="C27" s="92"/>
      <c r="D27" s="93"/>
      <c r="E27" s="93"/>
      <c r="F27" s="93"/>
      <c r="G27" s="93">
        <f t="shared" si="0"/>
        <v>0</v>
      </c>
      <c r="H27" s="92">
        <f t="shared" si="1"/>
        <v>2</v>
      </c>
    </row>
    <row r="28" spans="1:8" ht="15" x14ac:dyDescent="0.2">
      <c r="A28" s="89">
        <v>25</v>
      </c>
      <c r="B28" s="89"/>
      <c r="C28" s="89"/>
      <c r="D28" s="90"/>
      <c r="E28" s="90"/>
      <c r="F28" s="90"/>
      <c r="G28" s="90">
        <f t="shared" si="0"/>
        <v>0</v>
      </c>
      <c r="H28" s="28">
        <f t="shared" si="1"/>
        <v>2</v>
      </c>
    </row>
    <row r="29" spans="1:8" ht="15" x14ac:dyDescent="0.2">
      <c r="A29" s="92">
        <v>26</v>
      </c>
      <c r="B29" s="107"/>
      <c r="C29" s="107"/>
      <c r="D29" s="110"/>
      <c r="E29" s="110"/>
      <c r="F29" s="110"/>
      <c r="G29" s="110">
        <f t="shared" si="0"/>
        <v>0</v>
      </c>
      <c r="H29" s="107">
        <f t="shared" si="1"/>
        <v>2</v>
      </c>
    </row>
    <row r="30" spans="1:8" ht="15" x14ac:dyDescent="0.2">
      <c r="A30" s="89">
        <v>27</v>
      </c>
      <c r="B30" s="107"/>
      <c r="C30" s="107"/>
      <c r="D30" s="110"/>
      <c r="E30" s="110"/>
      <c r="F30" s="110"/>
      <c r="G30" s="110">
        <f t="shared" si="0"/>
        <v>0</v>
      </c>
      <c r="H30" s="28">
        <f t="shared" si="1"/>
        <v>2</v>
      </c>
    </row>
    <row r="31" spans="1:8" ht="15" x14ac:dyDescent="0.2">
      <c r="A31" s="92">
        <v>28</v>
      </c>
      <c r="B31" s="107"/>
      <c r="C31" s="107"/>
      <c r="D31" s="110"/>
      <c r="E31" s="110"/>
      <c r="F31" s="110"/>
      <c r="G31" s="110">
        <f t="shared" si="0"/>
        <v>0</v>
      </c>
      <c r="H31" s="107">
        <f t="shared" si="1"/>
        <v>2</v>
      </c>
    </row>
    <row r="32" spans="1:8" ht="15" x14ac:dyDescent="0.2">
      <c r="A32" s="89">
        <v>29</v>
      </c>
      <c r="B32" s="107"/>
      <c r="C32" s="107"/>
      <c r="D32" s="110"/>
      <c r="E32" s="110"/>
      <c r="F32" s="110"/>
      <c r="G32" s="110">
        <f t="shared" si="0"/>
        <v>0</v>
      </c>
      <c r="H32" s="28">
        <f t="shared" si="1"/>
        <v>2</v>
      </c>
    </row>
    <row r="33" spans="1:8" ht="15" x14ac:dyDescent="0.2">
      <c r="A33" s="92">
        <v>30</v>
      </c>
      <c r="B33" s="134"/>
      <c r="C33" s="134"/>
      <c r="D33" s="135"/>
      <c r="E33" s="135"/>
      <c r="F33" s="135"/>
      <c r="G33" s="135">
        <f t="shared" si="0"/>
        <v>0</v>
      </c>
      <c r="H33" s="134">
        <f t="shared" si="1"/>
        <v>2</v>
      </c>
    </row>
    <row r="34" spans="1:8" ht="15" x14ac:dyDescent="0.2">
      <c r="A34" s="89">
        <v>31</v>
      </c>
      <c r="B34" s="144"/>
      <c r="C34" s="144"/>
      <c r="D34" s="145"/>
      <c r="E34" s="145"/>
      <c r="F34" s="145"/>
      <c r="G34" s="145">
        <f t="shared" si="0"/>
        <v>0</v>
      </c>
      <c r="H34" s="144">
        <f t="shared" si="1"/>
        <v>2</v>
      </c>
    </row>
    <row r="35" spans="1:8" ht="15" x14ac:dyDescent="0.2">
      <c r="A35" s="92">
        <v>32</v>
      </c>
      <c r="B35" s="144"/>
      <c r="C35" s="144"/>
      <c r="D35" s="145"/>
      <c r="E35" s="145"/>
      <c r="F35" s="145"/>
      <c r="G35" s="145">
        <f t="shared" si="0"/>
        <v>0</v>
      </c>
      <c r="H35" s="144">
        <f t="shared" si="1"/>
        <v>2</v>
      </c>
    </row>
    <row r="36" spans="1:8" ht="15" x14ac:dyDescent="0.2">
      <c r="A36" s="89">
        <v>33</v>
      </c>
      <c r="B36" s="144"/>
      <c r="C36" s="144"/>
      <c r="D36" s="145"/>
      <c r="E36" s="145"/>
      <c r="F36" s="145"/>
      <c r="G36" s="145">
        <f t="shared" si="0"/>
        <v>0</v>
      </c>
      <c r="H36" s="144">
        <f t="shared" si="1"/>
        <v>2</v>
      </c>
    </row>
    <row r="37" spans="1:8" ht="15" x14ac:dyDescent="0.2">
      <c r="A37" s="92">
        <v>34</v>
      </c>
      <c r="B37" s="144"/>
      <c r="C37" s="144"/>
      <c r="D37" s="145"/>
      <c r="E37" s="145"/>
      <c r="F37" s="145"/>
      <c r="G37" s="145">
        <f t="shared" si="0"/>
        <v>0</v>
      </c>
      <c r="H37" s="144">
        <f t="shared" si="1"/>
        <v>2</v>
      </c>
    </row>
    <row r="38" spans="1:8" ht="15" x14ac:dyDescent="0.2">
      <c r="A38" s="89">
        <v>35</v>
      </c>
      <c r="B38" s="144"/>
      <c r="C38" s="144"/>
      <c r="D38" s="145"/>
      <c r="E38" s="145"/>
      <c r="F38" s="145"/>
      <c r="G38" s="145">
        <f t="shared" si="0"/>
        <v>0</v>
      </c>
      <c r="H38" s="144">
        <f t="shared" si="1"/>
        <v>2</v>
      </c>
    </row>
    <row r="39" spans="1:8" ht="15" x14ac:dyDescent="0.2">
      <c r="A39" s="92">
        <v>36</v>
      </c>
      <c r="B39" s="144"/>
      <c r="C39" s="144"/>
      <c r="D39" s="145"/>
      <c r="E39" s="145"/>
      <c r="F39" s="145"/>
      <c r="G39" s="145">
        <f t="shared" si="0"/>
        <v>0</v>
      </c>
      <c r="H39" s="144">
        <f t="shared" si="1"/>
        <v>2</v>
      </c>
    </row>
    <row r="40" spans="1:8" ht="15" x14ac:dyDescent="0.2">
      <c r="A40" s="89">
        <v>37</v>
      </c>
      <c r="B40" s="144"/>
      <c r="C40" s="144"/>
      <c r="D40" s="145"/>
      <c r="E40" s="145"/>
      <c r="F40" s="145"/>
      <c r="G40" s="145">
        <f t="shared" si="0"/>
        <v>0</v>
      </c>
      <c r="H40" s="144">
        <f t="shared" si="1"/>
        <v>2</v>
      </c>
    </row>
    <row r="41" spans="1:8" ht="15" x14ac:dyDescent="0.2">
      <c r="A41" s="92">
        <v>38</v>
      </c>
      <c r="B41" s="144"/>
      <c r="C41" s="144"/>
      <c r="D41" s="145"/>
      <c r="E41" s="145"/>
      <c r="F41" s="145"/>
      <c r="G41" s="145">
        <f t="shared" si="0"/>
        <v>0</v>
      </c>
      <c r="H41" s="144">
        <f t="shared" si="1"/>
        <v>2</v>
      </c>
    </row>
    <row r="42" spans="1:8" ht="15" x14ac:dyDescent="0.2">
      <c r="A42" s="89">
        <v>39</v>
      </c>
      <c r="B42" s="144"/>
      <c r="C42" s="144"/>
      <c r="D42" s="145"/>
      <c r="E42" s="145"/>
      <c r="F42" s="145"/>
      <c r="G42" s="145">
        <f t="shared" si="0"/>
        <v>0</v>
      </c>
      <c r="H42" s="144">
        <f t="shared" si="1"/>
        <v>2</v>
      </c>
    </row>
    <row r="43" spans="1:8" ht="15" x14ac:dyDescent="0.2">
      <c r="A43" s="92">
        <v>40</v>
      </c>
      <c r="B43" s="144"/>
      <c r="C43" s="144"/>
      <c r="D43" s="145"/>
      <c r="E43" s="145"/>
      <c r="F43" s="145"/>
      <c r="G43" s="145">
        <f t="shared" si="0"/>
        <v>0</v>
      </c>
      <c r="H43" s="144">
        <f t="shared" si="1"/>
        <v>2</v>
      </c>
    </row>
    <row r="44" spans="1:8" ht="15" x14ac:dyDescent="0.2">
      <c r="A44" s="89">
        <v>41</v>
      </c>
      <c r="B44" s="144"/>
      <c r="C44" s="144"/>
      <c r="D44" s="145"/>
      <c r="E44" s="145"/>
      <c r="F44" s="145"/>
      <c r="G44" s="145">
        <f t="shared" si="0"/>
        <v>0</v>
      </c>
      <c r="H44" s="144">
        <f t="shared" si="1"/>
        <v>2</v>
      </c>
    </row>
    <row r="45" spans="1:8" ht="15" x14ac:dyDescent="0.2">
      <c r="A45" s="92">
        <v>42</v>
      </c>
      <c r="B45" s="144"/>
      <c r="C45" s="144"/>
      <c r="D45" s="145"/>
      <c r="E45" s="145"/>
      <c r="F45" s="145"/>
      <c r="G45" s="145">
        <f t="shared" si="0"/>
        <v>0</v>
      </c>
      <c r="H45" s="144">
        <f t="shared" si="1"/>
        <v>2</v>
      </c>
    </row>
    <row r="46" spans="1:8" ht="15" x14ac:dyDescent="0.2">
      <c r="A46" s="89">
        <v>43</v>
      </c>
      <c r="B46" s="144"/>
      <c r="C46" s="144"/>
      <c r="D46" s="145"/>
      <c r="E46" s="145"/>
      <c r="F46" s="145"/>
      <c r="G46" s="145">
        <f t="shared" si="0"/>
        <v>0</v>
      </c>
      <c r="H46" s="144">
        <f t="shared" si="1"/>
        <v>2</v>
      </c>
    </row>
    <row r="47" spans="1:8" ht="15" x14ac:dyDescent="0.2">
      <c r="A47" s="92">
        <v>44</v>
      </c>
      <c r="B47" s="144"/>
      <c r="C47" s="144"/>
      <c r="D47" s="145"/>
      <c r="E47" s="145"/>
      <c r="F47" s="145"/>
      <c r="G47" s="145">
        <f t="shared" si="0"/>
        <v>0</v>
      </c>
      <c r="H47" s="144">
        <f t="shared" si="1"/>
        <v>2</v>
      </c>
    </row>
    <row r="48" spans="1:8" ht="15" x14ac:dyDescent="0.2">
      <c r="A48" s="89">
        <v>45</v>
      </c>
      <c r="B48" s="144"/>
      <c r="C48" s="144"/>
      <c r="D48" s="145"/>
      <c r="E48" s="145"/>
      <c r="F48" s="145"/>
      <c r="G48" s="145">
        <f t="shared" si="0"/>
        <v>0</v>
      </c>
      <c r="H48" s="144">
        <f t="shared" si="1"/>
        <v>2</v>
      </c>
    </row>
    <row r="49" spans="1:8" ht="15" x14ac:dyDescent="0.2">
      <c r="A49" s="92">
        <v>46</v>
      </c>
      <c r="B49" s="144"/>
      <c r="C49" s="144"/>
      <c r="D49" s="145"/>
      <c r="E49" s="145"/>
      <c r="F49" s="145"/>
      <c r="G49" s="145">
        <f t="shared" si="0"/>
        <v>0</v>
      </c>
      <c r="H49" s="144">
        <f t="shared" si="1"/>
        <v>2</v>
      </c>
    </row>
    <row r="50" spans="1:8" ht="15" x14ac:dyDescent="0.2">
      <c r="A50" s="89">
        <v>47</v>
      </c>
      <c r="B50" s="144"/>
      <c r="C50" s="144"/>
      <c r="D50" s="145"/>
      <c r="E50" s="145"/>
      <c r="F50" s="145"/>
      <c r="G50" s="145">
        <f t="shared" si="0"/>
        <v>0</v>
      </c>
      <c r="H50" s="144">
        <f t="shared" si="1"/>
        <v>2</v>
      </c>
    </row>
    <row r="51" spans="1:8" ht="15" x14ac:dyDescent="0.2">
      <c r="A51" s="92">
        <v>48</v>
      </c>
      <c r="B51" s="144"/>
      <c r="C51" s="144"/>
      <c r="D51" s="145"/>
      <c r="E51" s="145"/>
      <c r="F51" s="145"/>
      <c r="G51" s="145">
        <f t="shared" si="0"/>
        <v>0</v>
      </c>
      <c r="H51" s="144">
        <f t="shared" si="1"/>
        <v>2</v>
      </c>
    </row>
    <row r="52" spans="1:8" ht="15" x14ac:dyDescent="0.2">
      <c r="A52" s="89">
        <v>49</v>
      </c>
      <c r="B52" s="144"/>
      <c r="C52" s="144"/>
      <c r="D52" s="145"/>
      <c r="E52" s="145"/>
      <c r="F52" s="145"/>
      <c r="G52" s="145">
        <f t="shared" si="0"/>
        <v>0</v>
      </c>
      <c r="H52" s="144">
        <f t="shared" si="1"/>
        <v>2</v>
      </c>
    </row>
    <row r="53" spans="1:8" ht="15" x14ac:dyDescent="0.2">
      <c r="A53" s="92">
        <v>50</v>
      </c>
      <c r="B53" s="144"/>
      <c r="C53" s="144"/>
      <c r="D53" s="145"/>
      <c r="E53" s="145"/>
      <c r="F53" s="145"/>
      <c r="G53" s="145">
        <f t="shared" si="0"/>
        <v>0</v>
      </c>
      <c r="H53" s="144">
        <f t="shared" si="1"/>
        <v>2</v>
      </c>
    </row>
    <row r="54" spans="1:8" ht="15" x14ac:dyDescent="0.2">
      <c r="A54" s="108"/>
      <c r="B54" s="108"/>
      <c r="C54" s="108"/>
      <c r="D54" s="109"/>
      <c r="E54" s="109"/>
      <c r="F54" s="109"/>
      <c r="G54" s="109"/>
      <c r="H54" s="108"/>
    </row>
    <row r="55" spans="1:8" ht="15" x14ac:dyDescent="0.2">
      <c r="A55" s="28"/>
      <c r="B55" s="28"/>
      <c r="C55" s="28"/>
      <c r="D55" s="28"/>
      <c r="E55" s="29"/>
      <c r="F55" s="29"/>
      <c r="G55" s="29"/>
      <c r="H55" s="28"/>
    </row>
    <row r="56" spans="1:8" ht="15" x14ac:dyDescent="0.2">
      <c r="A56" s="160" t="s">
        <v>88</v>
      </c>
      <c r="B56" s="160"/>
      <c r="C56" s="40">
        <f>COUNT(table9[Number of Fish])</f>
        <v>0</v>
      </c>
      <c r="D56" s="40"/>
      <c r="E56" s="40"/>
      <c r="F56" s="41"/>
      <c r="G56" s="41"/>
      <c r="H56" s="49"/>
    </row>
    <row r="57" spans="1:8" ht="15" x14ac:dyDescent="0.2">
      <c r="A57" s="160" t="s">
        <v>89</v>
      </c>
      <c r="B57" s="160"/>
      <c r="C57" s="40">
        <f>SUM(table9[Number of Fish])</f>
        <v>0</v>
      </c>
      <c r="D57" s="40"/>
      <c r="E57" s="40"/>
      <c r="F57" s="41"/>
      <c r="G57" s="41"/>
      <c r="H57" s="49"/>
    </row>
    <row r="58" spans="1:8" ht="15" x14ac:dyDescent="0.2">
      <c r="A58" s="160" t="s">
        <v>90</v>
      </c>
      <c r="B58" s="160"/>
      <c r="C58" s="41">
        <f>SUM(table9[Total Weight])</f>
        <v>0</v>
      </c>
      <c r="D58" s="40"/>
      <c r="E58" s="41"/>
      <c r="F58" s="41"/>
      <c r="G58" s="41"/>
      <c r="H58" s="48"/>
    </row>
    <row r="59" spans="1:8" ht="15" x14ac:dyDescent="0.2">
      <c r="A59" s="160" t="s">
        <v>91</v>
      </c>
      <c r="B59" s="160"/>
      <c r="C59" s="41" t="e">
        <f>C58/C57</f>
        <v>#DIV/0!</v>
      </c>
      <c r="D59" s="40"/>
      <c r="E59" s="50"/>
      <c r="F59" s="41"/>
      <c r="G59" s="41"/>
      <c r="H59" s="48"/>
    </row>
    <row r="60" spans="1:8" ht="15" x14ac:dyDescent="0.2">
      <c r="A60" s="160" t="s">
        <v>92</v>
      </c>
      <c r="B60" s="160"/>
      <c r="C60" s="40" t="e">
        <f>C57/C56</f>
        <v>#DIV/0!</v>
      </c>
      <c r="D60" s="40"/>
      <c r="E60" s="41"/>
      <c r="F60" s="41"/>
      <c r="G60" s="41"/>
      <c r="H60" s="48"/>
    </row>
  </sheetData>
  <mergeCells count="7">
    <mergeCell ref="A60:B60"/>
    <mergeCell ref="A1:H1"/>
    <mergeCell ref="A2:H2"/>
    <mergeCell ref="A56:B56"/>
    <mergeCell ref="A57:B57"/>
    <mergeCell ref="A58:B58"/>
    <mergeCell ref="A59:B59"/>
  </mergeCells>
  <conditionalFormatting sqref="B4">
    <cfRule type="duplicateValues" dxfId="8" priority="1"/>
  </conditionalFormatting>
  <printOptions horizontalCentered="1"/>
  <pageMargins left="0.25" right="0.25" top="0.75" bottom="0.75" header="0.3" footer="0.3"/>
  <pageSetup scale="69" orientation="landscape" horizontalDpi="1200" verticalDpi="1200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B4:B53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H60"/>
  <sheetViews>
    <sheetView topLeftCell="A25" zoomScale="70" zoomScaleNormal="70" workbookViewId="0">
      <selection activeCell="C26" sqref="C26"/>
    </sheetView>
  </sheetViews>
  <sheetFormatPr defaultColWidth="18.7109375" defaultRowHeight="12.75" x14ac:dyDescent="0.2"/>
  <cols>
    <col min="1" max="1" width="9.7109375" style="2" bestFit="1" customWidth="1"/>
    <col min="2" max="2" width="32.28515625" style="2" customWidth="1"/>
    <col min="3" max="3" width="31.28515625" style="2" bestFit="1" customWidth="1"/>
    <col min="4" max="4" width="21.42578125" style="2" bestFit="1" customWidth="1"/>
    <col min="5" max="5" width="27.7109375" style="2" bestFit="1" customWidth="1"/>
    <col min="6" max="6" width="20.42578125" style="2" bestFit="1" customWidth="1"/>
    <col min="7" max="7" width="25.140625" style="2" bestFit="1" customWidth="1"/>
    <col min="8" max="8" width="27.7109375" style="2" bestFit="1" customWidth="1"/>
    <col min="9" max="16384" width="18.7109375" style="2"/>
  </cols>
  <sheetData>
    <row r="1" spans="1:8" ht="31.5" x14ac:dyDescent="0.6">
      <c r="A1" s="183" t="s">
        <v>283</v>
      </c>
      <c r="B1" s="183"/>
      <c r="C1" s="183"/>
      <c r="D1" s="183"/>
      <c r="E1" s="183"/>
      <c r="F1" s="183"/>
      <c r="G1" s="183"/>
      <c r="H1" s="183"/>
    </row>
    <row r="2" spans="1:8" ht="20.25" x14ac:dyDescent="0.3">
      <c r="A2" s="184" t="s">
        <v>263</v>
      </c>
      <c r="B2" s="184"/>
      <c r="C2" s="184"/>
      <c r="D2" s="184"/>
      <c r="E2" s="184"/>
      <c r="F2" s="184"/>
      <c r="G2" s="184"/>
      <c r="H2" s="184"/>
    </row>
    <row r="3" spans="1:8" ht="15.75" x14ac:dyDescent="0.25">
      <c r="A3" s="87" t="s">
        <v>183</v>
      </c>
      <c r="B3" s="95" t="s">
        <v>22</v>
      </c>
      <c r="C3" s="96" t="s">
        <v>213</v>
      </c>
      <c r="D3" s="97" t="s">
        <v>181</v>
      </c>
      <c r="E3" s="97" t="s">
        <v>214</v>
      </c>
      <c r="F3" s="97" t="s">
        <v>179</v>
      </c>
      <c r="G3" s="97" t="s">
        <v>215</v>
      </c>
      <c r="H3" s="98" t="s">
        <v>216</v>
      </c>
    </row>
    <row r="4" spans="1:8" ht="15" x14ac:dyDescent="0.2">
      <c r="A4" s="89">
        <v>1</v>
      </c>
      <c r="B4" s="30"/>
      <c r="C4" s="89"/>
      <c r="D4" s="90"/>
      <c r="E4" s="90"/>
      <c r="F4" s="90"/>
      <c r="G4" s="90">
        <f t="shared" ref="G4:G5" si="0">E4-F4</f>
        <v>0</v>
      </c>
      <c r="H4" s="28">
        <f>IF(C4&gt;0,33-A4,2)</f>
        <v>2</v>
      </c>
    </row>
    <row r="5" spans="1:8" s="3" customFormat="1" ht="15" x14ac:dyDescent="0.2">
      <c r="A5" s="92">
        <v>2</v>
      </c>
      <c r="B5" s="92"/>
      <c r="C5" s="92"/>
      <c r="D5" s="93"/>
      <c r="E5" s="93"/>
      <c r="F5" s="93"/>
      <c r="G5" s="93">
        <f t="shared" si="0"/>
        <v>0</v>
      </c>
      <c r="H5" s="92">
        <f t="shared" ref="H5:H32" si="1">IF(C5&gt;0,33-A5,2)</f>
        <v>2</v>
      </c>
    </row>
    <row r="6" spans="1:8" s="3" customFormat="1" ht="15" x14ac:dyDescent="0.2">
      <c r="A6" s="89">
        <v>3</v>
      </c>
      <c r="B6" s="89"/>
      <c r="C6" s="89"/>
      <c r="D6" s="90"/>
      <c r="E6" s="90"/>
      <c r="F6" s="90"/>
      <c r="G6" s="90">
        <f t="shared" ref="G6:G32" si="2">E6-F6</f>
        <v>0</v>
      </c>
      <c r="H6" s="28">
        <f t="shared" si="1"/>
        <v>2</v>
      </c>
    </row>
    <row r="7" spans="1:8" s="3" customFormat="1" ht="15" x14ac:dyDescent="0.2">
      <c r="A7" s="92">
        <v>4</v>
      </c>
      <c r="B7" s="92"/>
      <c r="C7" s="92"/>
      <c r="D7" s="93"/>
      <c r="E7" s="93"/>
      <c r="F7" s="93"/>
      <c r="G7" s="93">
        <f t="shared" si="2"/>
        <v>0</v>
      </c>
      <c r="H7" s="92">
        <f t="shared" si="1"/>
        <v>2</v>
      </c>
    </row>
    <row r="8" spans="1:8" s="3" customFormat="1" ht="15" x14ac:dyDescent="0.2">
      <c r="A8" s="89">
        <v>5</v>
      </c>
      <c r="B8" s="89"/>
      <c r="C8" s="89"/>
      <c r="D8" s="90"/>
      <c r="E8" s="90"/>
      <c r="F8" s="90"/>
      <c r="G8" s="90">
        <f t="shared" si="2"/>
        <v>0</v>
      </c>
      <c r="H8" s="28">
        <f t="shared" si="1"/>
        <v>2</v>
      </c>
    </row>
    <row r="9" spans="1:8" s="3" customFormat="1" ht="15" x14ac:dyDescent="0.2">
      <c r="A9" s="92">
        <v>6</v>
      </c>
      <c r="B9" s="92"/>
      <c r="C9" s="92"/>
      <c r="D9" s="93"/>
      <c r="E9" s="93"/>
      <c r="F9" s="93"/>
      <c r="G9" s="93">
        <f t="shared" si="2"/>
        <v>0</v>
      </c>
      <c r="H9" s="92">
        <f t="shared" si="1"/>
        <v>2</v>
      </c>
    </row>
    <row r="10" spans="1:8" s="3" customFormat="1" ht="15" x14ac:dyDescent="0.2">
      <c r="A10" s="89">
        <v>7</v>
      </c>
      <c r="B10" s="89"/>
      <c r="C10" s="89"/>
      <c r="D10" s="90"/>
      <c r="E10" s="90"/>
      <c r="F10" s="90"/>
      <c r="G10" s="90">
        <f t="shared" si="2"/>
        <v>0</v>
      </c>
      <c r="H10" s="28">
        <f t="shared" si="1"/>
        <v>2</v>
      </c>
    </row>
    <row r="11" spans="1:8" ht="15" x14ac:dyDescent="0.2">
      <c r="A11" s="92">
        <v>8</v>
      </c>
      <c r="B11" s="92"/>
      <c r="C11" s="92"/>
      <c r="D11" s="93"/>
      <c r="E11" s="93"/>
      <c r="F11" s="93"/>
      <c r="G11" s="93">
        <f t="shared" si="2"/>
        <v>0</v>
      </c>
      <c r="H11" s="92">
        <f t="shared" si="1"/>
        <v>2</v>
      </c>
    </row>
    <row r="12" spans="1:8" ht="15.75" customHeight="1" x14ac:dyDescent="0.2">
      <c r="A12" s="89">
        <v>9</v>
      </c>
      <c r="B12" s="89"/>
      <c r="C12" s="89"/>
      <c r="D12" s="90"/>
      <c r="E12" s="90"/>
      <c r="F12" s="90"/>
      <c r="G12" s="90">
        <f t="shared" si="2"/>
        <v>0</v>
      </c>
      <c r="H12" s="28">
        <f t="shared" si="1"/>
        <v>2</v>
      </c>
    </row>
    <row r="13" spans="1:8" ht="15" x14ac:dyDescent="0.2">
      <c r="A13" s="92">
        <v>10</v>
      </c>
      <c r="B13" s="92"/>
      <c r="C13" s="92"/>
      <c r="D13" s="93"/>
      <c r="E13" s="93"/>
      <c r="F13" s="93"/>
      <c r="G13" s="93">
        <f t="shared" si="2"/>
        <v>0</v>
      </c>
      <c r="H13" s="92">
        <f t="shared" si="1"/>
        <v>2</v>
      </c>
    </row>
    <row r="14" spans="1:8" ht="15" x14ac:dyDescent="0.2">
      <c r="A14" s="89">
        <v>11</v>
      </c>
      <c r="B14" s="89"/>
      <c r="C14" s="89"/>
      <c r="D14" s="90"/>
      <c r="E14" s="90"/>
      <c r="F14" s="90"/>
      <c r="G14" s="90">
        <f t="shared" si="2"/>
        <v>0</v>
      </c>
      <c r="H14" s="28">
        <f t="shared" si="1"/>
        <v>2</v>
      </c>
    </row>
    <row r="15" spans="1:8" ht="15" x14ac:dyDescent="0.2">
      <c r="A15" s="92">
        <v>12</v>
      </c>
      <c r="B15" s="92"/>
      <c r="C15" s="92"/>
      <c r="D15" s="93"/>
      <c r="E15" s="93"/>
      <c r="F15" s="93"/>
      <c r="G15" s="93">
        <f t="shared" si="2"/>
        <v>0</v>
      </c>
      <c r="H15" s="92">
        <f t="shared" si="1"/>
        <v>2</v>
      </c>
    </row>
    <row r="16" spans="1:8" ht="15" x14ac:dyDescent="0.2">
      <c r="A16" s="89">
        <v>13</v>
      </c>
      <c r="B16" s="89"/>
      <c r="C16" s="89"/>
      <c r="D16" s="90"/>
      <c r="E16" s="90"/>
      <c r="F16" s="90"/>
      <c r="G16" s="90">
        <f t="shared" si="2"/>
        <v>0</v>
      </c>
      <c r="H16" s="28">
        <f t="shared" si="1"/>
        <v>2</v>
      </c>
    </row>
    <row r="17" spans="1:8" ht="15" x14ac:dyDescent="0.2">
      <c r="A17" s="92">
        <v>14</v>
      </c>
      <c r="B17" s="92"/>
      <c r="C17" s="92"/>
      <c r="D17" s="93"/>
      <c r="E17" s="93"/>
      <c r="F17" s="93"/>
      <c r="G17" s="93">
        <f t="shared" si="2"/>
        <v>0</v>
      </c>
      <c r="H17" s="92">
        <f t="shared" si="1"/>
        <v>2</v>
      </c>
    </row>
    <row r="18" spans="1:8" ht="15" x14ac:dyDescent="0.2">
      <c r="A18" s="94">
        <v>15</v>
      </c>
      <c r="B18" s="89"/>
      <c r="C18" s="89"/>
      <c r="D18" s="90"/>
      <c r="E18" s="90"/>
      <c r="F18" s="90"/>
      <c r="G18" s="90">
        <f t="shared" si="2"/>
        <v>0</v>
      </c>
      <c r="H18" s="28">
        <f t="shared" si="1"/>
        <v>2</v>
      </c>
    </row>
    <row r="19" spans="1:8" ht="15" x14ac:dyDescent="0.2">
      <c r="A19" s="92">
        <v>16</v>
      </c>
      <c r="B19" s="92"/>
      <c r="C19" s="92"/>
      <c r="D19" s="93"/>
      <c r="E19" s="93"/>
      <c r="F19" s="93"/>
      <c r="G19" s="93">
        <f t="shared" si="2"/>
        <v>0</v>
      </c>
      <c r="H19" s="92">
        <f t="shared" si="1"/>
        <v>2</v>
      </c>
    </row>
    <row r="20" spans="1:8" ht="15" x14ac:dyDescent="0.2">
      <c r="A20" s="89">
        <v>17</v>
      </c>
      <c r="B20" s="89"/>
      <c r="C20" s="89"/>
      <c r="D20" s="90"/>
      <c r="E20" s="90"/>
      <c r="F20" s="90"/>
      <c r="G20" s="90">
        <f t="shared" si="2"/>
        <v>0</v>
      </c>
      <c r="H20" s="28">
        <f t="shared" si="1"/>
        <v>2</v>
      </c>
    </row>
    <row r="21" spans="1:8" ht="15" x14ac:dyDescent="0.2">
      <c r="A21" s="92">
        <v>18</v>
      </c>
      <c r="B21" s="92"/>
      <c r="C21" s="92"/>
      <c r="D21" s="93"/>
      <c r="E21" s="93"/>
      <c r="F21" s="93"/>
      <c r="G21" s="93">
        <f t="shared" si="2"/>
        <v>0</v>
      </c>
      <c r="H21" s="92">
        <f t="shared" si="1"/>
        <v>2</v>
      </c>
    </row>
    <row r="22" spans="1:8" ht="15" x14ac:dyDescent="0.2">
      <c r="A22" s="89">
        <v>19</v>
      </c>
      <c r="B22" s="89"/>
      <c r="C22" s="89"/>
      <c r="D22" s="90"/>
      <c r="E22" s="90"/>
      <c r="F22" s="90"/>
      <c r="G22" s="90">
        <f t="shared" si="2"/>
        <v>0</v>
      </c>
      <c r="H22" s="28">
        <f t="shared" si="1"/>
        <v>2</v>
      </c>
    </row>
    <row r="23" spans="1:8" ht="15" x14ac:dyDescent="0.2">
      <c r="A23" s="92">
        <v>20</v>
      </c>
      <c r="B23" s="92"/>
      <c r="C23" s="92"/>
      <c r="D23" s="93"/>
      <c r="E23" s="93"/>
      <c r="F23" s="93"/>
      <c r="G23" s="93">
        <f t="shared" si="2"/>
        <v>0</v>
      </c>
      <c r="H23" s="92">
        <f t="shared" si="1"/>
        <v>2</v>
      </c>
    </row>
    <row r="24" spans="1:8" ht="15" x14ac:dyDescent="0.2">
      <c r="A24" s="89">
        <v>21</v>
      </c>
      <c r="B24" s="89"/>
      <c r="C24" s="89"/>
      <c r="D24" s="90"/>
      <c r="E24" s="90"/>
      <c r="F24" s="90"/>
      <c r="G24" s="90">
        <f t="shared" si="2"/>
        <v>0</v>
      </c>
      <c r="H24" s="28">
        <f t="shared" si="1"/>
        <v>2</v>
      </c>
    </row>
    <row r="25" spans="1:8" ht="15" x14ac:dyDescent="0.2">
      <c r="A25" s="92">
        <v>22</v>
      </c>
      <c r="B25" s="92"/>
      <c r="C25" s="92"/>
      <c r="D25" s="93"/>
      <c r="E25" s="93"/>
      <c r="F25" s="93"/>
      <c r="G25" s="93">
        <f t="shared" si="2"/>
        <v>0</v>
      </c>
      <c r="H25" s="92">
        <f t="shared" si="1"/>
        <v>2</v>
      </c>
    </row>
    <row r="26" spans="1:8" ht="15" x14ac:dyDescent="0.2">
      <c r="A26" s="89">
        <v>23</v>
      </c>
      <c r="B26" s="89"/>
      <c r="C26" s="89"/>
      <c r="D26" s="90"/>
      <c r="E26" s="90"/>
      <c r="F26" s="90"/>
      <c r="G26" s="90">
        <f t="shared" si="2"/>
        <v>0</v>
      </c>
      <c r="H26" s="28">
        <f t="shared" si="1"/>
        <v>2</v>
      </c>
    </row>
    <row r="27" spans="1:8" ht="15" x14ac:dyDescent="0.2">
      <c r="A27" s="92">
        <v>24</v>
      </c>
      <c r="B27" s="92"/>
      <c r="C27" s="92"/>
      <c r="D27" s="93"/>
      <c r="E27" s="93"/>
      <c r="F27" s="93"/>
      <c r="G27" s="93">
        <f t="shared" si="2"/>
        <v>0</v>
      </c>
      <c r="H27" s="92">
        <f t="shared" si="1"/>
        <v>2</v>
      </c>
    </row>
    <row r="28" spans="1:8" ht="15" x14ac:dyDescent="0.2">
      <c r="A28" s="89">
        <v>25</v>
      </c>
      <c r="B28" s="89"/>
      <c r="C28" s="89"/>
      <c r="D28" s="90"/>
      <c r="E28" s="90"/>
      <c r="F28" s="90"/>
      <c r="G28" s="90">
        <f t="shared" si="2"/>
        <v>0</v>
      </c>
      <c r="H28" s="28">
        <f t="shared" si="1"/>
        <v>2</v>
      </c>
    </row>
    <row r="29" spans="1:8" ht="15" x14ac:dyDescent="0.2">
      <c r="A29" s="92">
        <v>26</v>
      </c>
      <c r="B29" s="107"/>
      <c r="C29" s="107"/>
      <c r="D29" s="110"/>
      <c r="E29" s="110"/>
      <c r="F29" s="110"/>
      <c r="G29" s="110">
        <f t="shared" si="2"/>
        <v>0</v>
      </c>
      <c r="H29" s="107">
        <f t="shared" si="1"/>
        <v>2</v>
      </c>
    </row>
    <row r="30" spans="1:8" ht="15" x14ac:dyDescent="0.2">
      <c r="A30" s="89">
        <v>27</v>
      </c>
      <c r="B30" s="107"/>
      <c r="C30" s="107"/>
      <c r="D30" s="110"/>
      <c r="E30" s="110"/>
      <c r="F30" s="110"/>
      <c r="G30" s="110">
        <f t="shared" si="2"/>
        <v>0</v>
      </c>
      <c r="H30" s="28">
        <f t="shared" si="1"/>
        <v>2</v>
      </c>
    </row>
    <row r="31" spans="1:8" ht="15" x14ac:dyDescent="0.2">
      <c r="A31" s="92">
        <v>28</v>
      </c>
      <c r="B31" s="107"/>
      <c r="C31" s="107"/>
      <c r="D31" s="110"/>
      <c r="E31" s="110"/>
      <c r="F31" s="110"/>
      <c r="G31" s="110">
        <f t="shared" si="2"/>
        <v>0</v>
      </c>
      <c r="H31" s="107">
        <f t="shared" si="1"/>
        <v>2</v>
      </c>
    </row>
    <row r="32" spans="1:8" ht="15" x14ac:dyDescent="0.2">
      <c r="A32" s="89">
        <v>29</v>
      </c>
      <c r="B32" s="107"/>
      <c r="C32" s="107"/>
      <c r="D32" s="110"/>
      <c r="E32" s="110"/>
      <c r="F32" s="110"/>
      <c r="G32" s="110">
        <f t="shared" si="2"/>
        <v>0</v>
      </c>
      <c r="H32" s="28">
        <f t="shared" si="1"/>
        <v>2</v>
      </c>
    </row>
    <row r="33" spans="1:8" ht="15" x14ac:dyDescent="0.2">
      <c r="A33" s="92">
        <v>30</v>
      </c>
      <c r="B33" s="134"/>
      <c r="C33" s="134"/>
      <c r="D33" s="135"/>
      <c r="E33" s="135"/>
      <c r="F33" s="135"/>
      <c r="G33" s="135">
        <f t="shared" ref="G33:G53" si="3">E33-F33</f>
        <v>0</v>
      </c>
      <c r="H33" s="134">
        <f t="shared" ref="H33:H53" si="4">IF(C33&gt;0,33-A33,2)</f>
        <v>2</v>
      </c>
    </row>
    <row r="34" spans="1:8" ht="15" x14ac:dyDescent="0.2">
      <c r="A34" s="89">
        <v>31</v>
      </c>
      <c r="B34" s="144"/>
      <c r="C34" s="144"/>
      <c r="D34" s="145"/>
      <c r="E34" s="145"/>
      <c r="F34" s="145"/>
      <c r="G34" s="145">
        <f t="shared" si="3"/>
        <v>0</v>
      </c>
      <c r="H34" s="144">
        <f t="shared" si="4"/>
        <v>2</v>
      </c>
    </row>
    <row r="35" spans="1:8" ht="15" x14ac:dyDescent="0.2">
      <c r="A35" s="92">
        <v>32</v>
      </c>
      <c r="B35" s="144"/>
      <c r="C35" s="144"/>
      <c r="D35" s="145"/>
      <c r="E35" s="145"/>
      <c r="F35" s="145"/>
      <c r="G35" s="145">
        <f t="shared" si="3"/>
        <v>0</v>
      </c>
      <c r="H35" s="144">
        <f t="shared" si="4"/>
        <v>2</v>
      </c>
    </row>
    <row r="36" spans="1:8" ht="15" x14ac:dyDescent="0.2">
      <c r="A36" s="89">
        <v>33</v>
      </c>
      <c r="B36" s="144"/>
      <c r="C36" s="144"/>
      <c r="D36" s="145"/>
      <c r="E36" s="145"/>
      <c r="F36" s="145"/>
      <c r="G36" s="145">
        <f t="shared" si="3"/>
        <v>0</v>
      </c>
      <c r="H36" s="144">
        <f t="shared" si="4"/>
        <v>2</v>
      </c>
    </row>
    <row r="37" spans="1:8" ht="15" x14ac:dyDescent="0.2">
      <c r="A37" s="92">
        <v>34</v>
      </c>
      <c r="B37" s="144"/>
      <c r="C37" s="144"/>
      <c r="D37" s="145"/>
      <c r="E37" s="145"/>
      <c r="F37" s="145"/>
      <c r="G37" s="145">
        <f t="shared" si="3"/>
        <v>0</v>
      </c>
      <c r="H37" s="144">
        <f t="shared" si="4"/>
        <v>2</v>
      </c>
    </row>
    <row r="38" spans="1:8" ht="15" x14ac:dyDescent="0.2">
      <c r="A38" s="89">
        <v>35</v>
      </c>
      <c r="B38" s="144"/>
      <c r="C38" s="144"/>
      <c r="D38" s="145"/>
      <c r="E38" s="145"/>
      <c r="F38" s="145"/>
      <c r="G38" s="145">
        <f t="shared" si="3"/>
        <v>0</v>
      </c>
      <c r="H38" s="144">
        <f t="shared" si="4"/>
        <v>2</v>
      </c>
    </row>
    <row r="39" spans="1:8" ht="15" x14ac:dyDescent="0.2">
      <c r="A39" s="92">
        <v>36</v>
      </c>
      <c r="B39" s="144"/>
      <c r="C39" s="144"/>
      <c r="D39" s="145"/>
      <c r="E39" s="145"/>
      <c r="F39" s="145"/>
      <c r="G39" s="145">
        <f t="shared" si="3"/>
        <v>0</v>
      </c>
      <c r="H39" s="144">
        <f t="shared" si="4"/>
        <v>2</v>
      </c>
    </row>
    <row r="40" spans="1:8" ht="15" x14ac:dyDescent="0.2">
      <c r="A40" s="89">
        <v>37</v>
      </c>
      <c r="B40" s="144"/>
      <c r="C40" s="144"/>
      <c r="D40" s="145"/>
      <c r="E40" s="145"/>
      <c r="F40" s="145"/>
      <c r="G40" s="145">
        <f t="shared" si="3"/>
        <v>0</v>
      </c>
      <c r="H40" s="144">
        <f t="shared" si="4"/>
        <v>2</v>
      </c>
    </row>
    <row r="41" spans="1:8" ht="15" x14ac:dyDescent="0.2">
      <c r="A41" s="92">
        <v>38</v>
      </c>
      <c r="B41" s="144"/>
      <c r="C41" s="144"/>
      <c r="D41" s="145"/>
      <c r="E41" s="145"/>
      <c r="F41" s="145"/>
      <c r="G41" s="145">
        <f t="shared" si="3"/>
        <v>0</v>
      </c>
      <c r="H41" s="144">
        <f t="shared" si="4"/>
        <v>2</v>
      </c>
    </row>
    <row r="42" spans="1:8" ht="15" x14ac:dyDescent="0.2">
      <c r="A42" s="89">
        <v>39</v>
      </c>
      <c r="B42" s="144"/>
      <c r="C42" s="144"/>
      <c r="D42" s="145"/>
      <c r="E42" s="145"/>
      <c r="F42" s="145"/>
      <c r="G42" s="145">
        <f t="shared" si="3"/>
        <v>0</v>
      </c>
      <c r="H42" s="144">
        <f t="shared" si="4"/>
        <v>2</v>
      </c>
    </row>
    <row r="43" spans="1:8" ht="15" x14ac:dyDescent="0.2">
      <c r="A43" s="92">
        <v>40</v>
      </c>
      <c r="B43" s="144"/>
      <c r="C43" s="144"/>
      <c r="D43" s="145"/>
      <c r="E43" s="145"/>
      <c r="F43" s="145"/>
      <c r="G43" s="145">
        <f t="shared" si="3"/>
        <v>0</v>
      </c>
      <c r="H43" s="144">
        <f t="shared" si="4"/>
        <v>2</v>
      </c>
    </row>
    <row r="44" spans="1:8" ht="15" x14ac:dyDescent="0.2">
      <c r="A44" s="89">
        <v>41</v>
      </c>
      <c r="B44" s="144"/>
      <c r="C44" s="144"/>
      <c r="D44" s="145"/>
      <c r="E44" s="145"/>
      <c r="F44" s="145"/>
      <c r="G44" s="145">
        <f t="shared" si="3"/>
        <v>0</v>
      </c>
      <c r="H44" s="144">
        <f t="shared" si="4"/>
        <v>2</v>
      </c>
    </row>
    <row r="45" spans="1:8" ht="15" x14ac:dyDescent="0.2">
      <c r="A45" s="92">
        <v>42</v>
      </c>
      <c r="B45" s="144"/>
      <c r="C45" s="144"/>
      <c r="D45" s="145"/>
      <c r="E45" s="145"/>
      <c r="F45" s="145"/>
      <c r="G45" s="145">
        <f t="shared" si="3"/>
        <v>0</v>
      </c>
      <c r="H45" s="144">
        <f t="shared" si="4"/>
        <v>2</v>
      </c>
    </row>
    <row r="46" spans="1:8" ht="15" x14ac:dyDescent="0.2">
      <c r="A46" s="89">
        <v>43</v>
      </c>
      <c r="B46" s="144"/>
      <c r="C46" s="144"/>
      <c r="D46" s="145"/>
      <c r="E46" s="145"/>
      <c r="F46" s="145"/>
      <c r="G46" s="145">
        <f t="shared" si="3"/>
        <v>0</v>
      </c>
      <c r="H46" s="144">
        <f t="shared" si="4"/>
        <v>2</v>
      </c>
    </row>
    <row r="47" spans="1:8" ht="15" x14ac:dyDescent="0.2">
      <c r="A47" s="92">
        <v>44</v>
      </c>
      <c r="B47" s="144"/>
      <c r="C47" s="144"/>
      <c r="D47" s="145"/>
      <c r="E47" s="145"/>
      <c r="F47" s="145"/>
      <c r="G47" s="145">
        <f t="shared" si="3"/>
        <v>0</v>
      </c>
      <c r="H47" s="144">
        <f t="shared" si="4"/>
        <v>2</v>
      </c>
    </row>
    <row r="48" spans="1:8" ht="15" x14ac:dyDescent="0.2">
      <c r="A48" s="89">
        <v>45</v>
      </c>
      <c r="B48" s="144"/>
      <c r="C48" s="144"/>
      <c r="D48" s="145"/>
      <c r="E48" s="145"/>
      <c r="F48" s="145"/>
      <c r="G48" s="145">
        <f t="shared" si="3"/>
        <v>0</v>
      </c>
      <c r="H48" s="144">
        <f t="shared" si="4"/>
        <v>2</v>
      </c>
    </row>
    <row r="49" spans="1:8" ht="15" x14ac:dyDescent="0.2">
      <c r="A49" s="92">
        <v>46</v>
      </c>
      <c r="B49" s="144"/>
      <c r="C49" s="144"/>
      <c r="D49" s="145"/>
      <c r="E49" s="145"/>
      <c r="F49" s="145"/>
      <c r="G49" s="145">
        <f t="shared" si="3"/>
        <v>0</v>
      </c>
      <c r="H49" s="144">
        <f t="shared" si="4"/>
        <v>2</v>
      </c>
    </row>
    <row r="50" spans="1:8" ht="15" x14ac:dyDescent="0.2">
      <c r="A50" s="89">
        <v>47</v>
      </c>
      <c r="B50" s="144"/>
      <c r="C50" s="144"/>
      <c r="D50" s="145"/>
      <c r="E50" s="145"/>
      <c r="F50" s="145"/>
      <c r="G50" s="145">
        <f t="shared" si="3"/>
        <v>0</v>
      </c>
      <c r="H50" s="144">
        <f t="shared" si="4"/>
        <v>2</v>
      </c>
    </row>
    <row r="51" spans="1:8" ht="15" x14ac:dyDescent="0.2">
      <c r="A51" s="92">
        <v>48</v>
      </c>
      <c r="B51" s="144"/>
      <c r="C51" s="144"/>
      <c r="D51" s="145"/>
      <c r="E51" s="145"/>
      <c r="F51" s="145"/>
      <c r="G51" s="145">
        <f t="shared" si="3"/>
        <v>0</v>
      </c>
      <c r="H51" s="144">
        <f t="shared" si="4"/>
        <v>2</v>
      </c>
    </row>
    <row r="52" spans="1:8" ht="15" x14ac:dyDescent="0.2">
      <c r="A52" s="89">
        <v>49</v>
      </c>
      <c r="B52" s="144"/>
      <c r="C52" s="144"/>
      <c r="D52" s="145"/>
      <c r="E52" s="145"/>
      <c r="F52" s="145"/>
      <c r="G52" s="145">
        <f t="shared" si="3"/>
        <v>0</v>
      </c>
      <c r="H52" s="144">
        <f t="shared" si="4"/>
        <v>2</v>
      </c>
    </row>
    <row r="53" spans="1:8" ht="15" x14ac:dyDescent="0.2">
      <c r="A53" s="92">
        <v>50</v>
      </c>
      <c r="B53" s="144"/>
      <c r="C53" s="144"/>
      <c r="D53" s="145"/>
      <c r="E53" s="145"/>
      <c r="F53" s="145"/>
      <c r="G53" s="145">
        <f t="shared" si="3"/>
        <v>0</v>
      </c>
      <c r="H53" s="144">
        <f t="shared" si="4"/>
        <v>2</v>
      </c>
    </row>
    <row r="54" spans="1:8" ht="15" x14ac:dyDescent="0.2">
      <c r="A54" s="108"/>
      <c r="B54" s="108"/>
      <c r="C54" s="108"/>
      <c r="D54" s="109"/>
      <c r="E54" s="109"/>
      <c r="F54" s="109"/>
      <c r="G54" s="109"/>
      <c r="H54" s="108"/>
    </row>
    <row r="55" spans="1:8" ht="15" x14ac:dyDescent="0.2">
      <c r="A55" s="28"/>
      <c r="B55" s="28"/>
      <c r="C55" s="28"/>
      <c r="D55" s="28"/>
      <c r="E55" s="29"/>
      <c r="F55" s="29"/>
      <c r="G55" s="29"/>
      <c r="H55" s="28"/>
    </row>
    <row r="56" spans="1:8" ht="15" x14ac:dyDescent="0.2">
      <c r="A56" s="160" t="s">
        <v>88</v>
      </c>
      <c r="B56" s="160"/>
      <c r="C56" s="40">
        <f>COUNT(table10[Number of Fish])</f>
        <v>0</v>
      </c>
      <c r="D56" s="40"/>
      <c r="E56" s="40"/>
      <c r="F56" s="41"/>
      <c r="G56" s="41"/>
      <c r="H56" s="49"/>
    </row>
    <row r="57" spans="1:8" ht="15" x14ac:dyDescent="0.2">
      <c r="A57" s="160" t="s">
        <v>89</v>
      </c>
      <c r="B57" s="160"/>
      <c r="C57" s="40">
        <f>SUM(table10[Number of Fish])</f>
        <v>0</v>
      </c>
      <c r="D57" s="40"/>
      <c r="E57" s="40"/>
      <c r="F57" s="41"/>
      <c r="G57" s="41"/>
      <c r="H57" s="49"/>
    </row>
    <row r="58" spans="1:8" ht="15" x14ac:dyDescent="0.2">
      <c r="A58" s="160" t="s">
        <v>90</v>
      </c>
      <c r="B58" s="160"/>
      <c r="C58" s="41">
        <f>SUM(table10[Total Weight])</f>
        <v>0</v>
      </c>
      <c r="D58" s="40"/>
      <c r="E58" s="41"/>
      <c r="F58" s="41"/>
      <c r="G58" s="41"/>
      <c r="H58" s="48"/>
    </row>
    <row r="59" spans="1:8" ht="15" x14ac:dyDescent="0.2">
      <c r="A59" s="160" t="s">
        <v>91</v>
      </c>
      <c r="B59" s="160"/>
      <c r="C59" s="41" t="e">
        <f>C58/C57</f>
        <v>#DIV/0!</v>
      </c>
      <c r="D59" s="40"/>
      <c r="E59" s="50"/>
      <c r="F59" s="41"/>
      <c r="G59" s="41"/>
      <c r="H59" s="48"/>
    </row>
    <row r="60" spans="1:8" ht="15" x14ac:dyDescent="0.2">
      <c r="A60" s="160" t="s">
        <v>92</v>
      </c>
      <c r="B60" s="160"/>
      <c r="C60" s="40" t="e">
        <f>C57/C56</f>
        <v>#DIV/0!</v>
      </c>
      <c r="D60" s="40"/>
      <c r="E60" s="41"/>
      <c r="F60" s="41"/>
      <c r="G60" s="41"/>
      <c r="H60" s="48"/>
    </row>
  </sheetData>
  <sortState ref="B5:B32">
    <sortCondition ref="B5:B32"/>
  </sortState>
  <mergeCells count="7">
    <mergeCell ref="A59:B59"/>
    <mergeCell ref="A60:B60"/>
    <mergeCell ref="A1:H1"/>
    <mergeCell ref="A2:H2"/>
    <mergeCell ref="A56:B56"/>
    <mergeCell ref="A57:B57"/>
    <mergeCell ref="A58:B58"/>
  </mergeCells>
  <phoneticPr fontId="0" type="noConversion"/>
  <conditionalFormatting sqref="B4">
    <cfRule type="duplicateValues" dxfId="7" priority="1"/>
  </conditionalFormatting>
  <printOptions horizontalCentered="1"/>
  <pageMargins left="0.25" right="0.25" top="0.75" bottom="0.75" header="0.3" footer="0.3"/>
  <pageSetup scale="69" orientation="landscape" horizontalDpi="1200" verticalDpi="1200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B4:B53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5" zoomScaleNormal="85" workbookViewId="0">
      <selection activeCell="B14" sqref="B14"/>
    </sheetView>
  </sheetViews>
  <sheetFormatPr defaultRowHeight="12.75" x14ac:dyDescent="0.2"/>
  <cols>
    <col min="1" max="1" width="7.5703125" bestFit="1" customWidth="1"/>
    <col min="2" max="2" width="19.42578125" bestFit="1" customWidth="1"/>
    <col min="3" max="3" width="22.85546875" bestFit="1" customWidth="1"/>
    <col min="4" max="4" width="16.140625" bestFit="1" customWidth="1"/>
    <col min="5" max="5" width="21.28515625" bestFit="1" customWidth="1"/>
    <col min="6" max="6" width="15.140625" bestFit="1" customWidth="1"/>
    <col min="7" max="7" width="19.5703125" bestFit="1" customWidth="1"/>
  </cols>
  <sheetData>
    <row r="1" spans="1:7" s="25" customFormat="1" ht="34.5" customHeight="1" x14ac:dyDescent="0.6">
      <c r="A1" s="183" t="s">
        <v>113</v>
      </c>
      <c r="B1" s="183"/>
      <c r="C1" s="183"/>
      <c r="D1" s="183"/>
      <c r="E1" s="183"/>
      <c r="F1" s="183"/>
      <c r="G1" s="183"/>
    </row>
    <row r="2" spans="1:7" ht="31.5" customHeight="1" x14ac:dyDescent="0.6">
      <c r="A2" s="183" t="s">
        <v>257</v>
      </c>
      <c r="B2" s="183"/>
      <c r="C2" s="183"/>
      <c r="D2" s="183"/>
      <c r="E2" s="183"/>
      <c r="F2" s="183"/>
      <c r="G2" s="183"/>
    </row>
    <row r="3" spans="1:7" ht="20.25" customHeight="1" x14ac:dyDescent="0.3">
      <c r="A3" s="184"/>
      <c r="B3" s="184"/>
      <c r="C3" s="184"/>
      <c r="D3" s="184"/>
      <c r="E3" s="184"/>
      <c r="F3" s="184"/>
      <c r="G3" s="184"/>
    </row>
    <row r="4" spans="1:7" ht="15.75" x14ac:dyDescent="0.25">
      <c r="A4" s="87" t="s">
        <v>183</v>
      </c>
      <c r="B4" s="95" t="s">
        <v>22</v>
      </c>
      <c r="C4" s="96" t="s">
        <v>213</v>
      </c>
      <c r="D4" s="97" t="s">
        <v>181</v>
      </c>
      <c r="E4" s="97" t="s">
        <v>214</v>
      </c>
      <c r="F4" s="97" t="s">
        <v>179</v>
      </c>
      <c r="G4" s="97" t="s">
        <v>215</v>
      </c>
    </row>
    <row r="5" spans="1:7" ht="15" x14ac:dyDescent="0.2">
      <c r="A5" s="89">
        <v>1</v>
      </c>
      <c r="B5" s="89" t="str">
        <f>'Otay 1'!B4</f>
        <v>Terry Chenowth</v>
      </c>
      <c r="C5" s="89"/>
      <c r="D5" s="90"/>
      <c r="E5" s="90"/>
      <c r="F5" s="90"/>
      <c r="G5" s="90">
        <f t="shared" ref="G5:G14" si="0">E5-F5</f>
        <v>0</v>
      </c>
    </row>
    <row r="6" spans="1:7" ht="15" x14ac:dyDescent="0.2">
      <c r="A6" s="92">
        <v>2</v>
      </c>
      <c r="B6" s="92" t="str">
        <f>'Otay 2'!B5</f>
        <v>Jim Sleight</v>
      </c>
      <c r="C6" s="92"/>
      <c r="D6" s="93"/>
      <c r="E6" s="93"/>
      <c r="F6" s="93"/>
      <c r="G6" s="93">
        <f t="shared" si="0"/>
        <v>0</v>
      </c>
    </row>
    <row r="7" spans="1:7" ht="15" x14ac:dyDescent="0.2">
      <c r="A7" s="89">
        <v>3</v>
      </c>
      <c r="B7" s="89" t="str">
        <f>'San V Night'!B4</f>
        <v>Nick Meyer</v>
      </c>
      <c r="C7" s="89"/>
      <c r="D7" s="90"/>
      <c r="E7" s="90"/>
      <c r="F7" s="90"/>
      <c r="G7" s="90">
        <f t="shared" si="0"/>
        <v>0</v>
      </c>
    </row>
    <row r="8" spans="1:7" ht="15" x14ac:dyDescent="0.2">
      <c r="A8" s="92">
        <v>4</v>
      </c>
      <c r="B8" s="89" t="str">
        <f>'Otay N'!B4</f>
        <v>Inder Lopez</v>
      </c>
      <c r="C8" s="92"/>
      <c r="D8" s="93"/>
      <c r="E8" s="93"/>
      <c r="F8" s="93"/>
      <c r="G8" s="93">
        <f t="shared" si="0"/>
        <v>0</v>
      </c>
    </row>
    <row r="9" spans="1:7" ht="15" x14ac:dyDescent="0.2">
      <c r="A9" s="89">
        <v>5</v>
      </c>
      <c r="B9" s="89" t="str">
        <f>'Lake Hodges'!B4</f>
        <v>Brian Goodell</v>
      </c>
      <c r="C9" s="107"/>
      <c r="D9" s="110"/>
      <c r="E9" s="110"/>
      <c r="F9" s="110"/>
      <c r="G9" s="110">
        <f t="shared" si="0"/>
        <v>0</v>
      </c>
    </row>
    <row r="10" spans="1:7" ht="15" x14ac:dyDescent="0.2">
      <c r="A10" s="92">
        <v>6</v>
      </c>
      <c r="B10" s="92">
        <f>'El Cap'!B4</f>
        <v>0</v>
      </c>
      <c r="C10" s="107"/>
      <c r="D10" s="110"/>
      <c r="E10" s="110"/>
      <c r="F10" s="110"/>
      <c r="G10" s="110">
        <f t="shared" si="0"/>
        <v>0</v>
      </c>
    </row>
    <row r="11" spans="1:7" ht="15" x14ac:dyDescent="0.2">
      <c r="A11" s="89">
        <v>7</v>
      </c>
      <c r="B11" s="89">
        <f>LCR!B5</f>
        <v>0</v>
      </c>
      <c r="C11" s="107"/>
      <c r="D11" s="110"/>
      <c r="E11" s="110"/>
      <c r="F11" s="110"/>
      <c r="G11" s="110">
        <f t="shared" si="0"/>
        <v>0</v>
      </c>
    </row>
    <row r="12" spans="1:7" ht="15" x14ac:dyDescent="0.2">
      <c r="A12" s="92">
        <v>8</v>
      </c>
      <c r="B12" s="89">
        <f>'El Cap 2'!B4</f>
        <v>0</v>
      </c>
      <c r="C12" s="107"/>
      <c r="D12" s="110"/>
      <c r="E12" s="110"/>
      <c r="F12" s="110"/>
      <c r="G12" s="110">
        <f t="shared" si="0"/>
        <v>0</v>
      </c>
    </row>
    <row r="13" spans="1:7" ht="15" x14ac:dyDescent="0.2">
      <c r="A13" s="89">
        <v>9</v>
      </c>
      <c r="B13" s="89">
        <f>'Otay 3'!B4</f>
        <v>0</v>
      </c>
      <c r="C13" s="107"/>
      <c r="D13" s="110"/>
      <c r="E13" s="110"/>
      <c r="F13" s="110"/>
      <c r="G13" s="110">
        <f t="shared" si="0"/>
        <v>0</v>
      </c>
    </row>
    <row r="14" spans="1:7" ht="15" x14ac:dyDescent="0.2">
      <c r="A14" s="92">
        <v>10</v>
      </c>
      <c r="B14" s="89">
        <f>'Otay 4'!B4</f>
        <v>0</v>
      </c>
      <c r="C14" s="107"/>
      <c r="D14" s="110"/>
      <c r="E14" s="110"/>
      <c r="F14" s="110"/>
      <c r="G14" s="110">
        <f t="shared" si="0"/>
        <v>0</v>
      </c>
    </row>
    <row r="15" spans="1:7" ht="15" x14ac:dyDescent="0.2">
      <c r="A15" s="108"/>
      <c r="B15" s="108"/>
      <c r="C15" s="108"/>
      <c r="D15" s="109"/>
      <c r="E15" s="109"/>
      <c r="F15" s="109"/>
      <c r="G15" s="109"/>
    </row>
    <row r="16" spans="1:7" ht="15" x14ac:dyDescent="0.2">
      <c r="A16" s="28"/>
      <c r="B16" s="28"/>
      <c r="C16" s="28"/>
      <c r="D16" s="28"/>
      <c r="E16" s="29"/>
      <c r="F16" s="29"/>
      <c r="G16" s="29"/>
    </row>
    <row r="17" spans="1:7" ht="15" x14ac:dyDescent="0.2">
      <c r="A17" s="160" t="s">
        <v>88</v>
      </c>
      <c r="B17" s="160"/>
      <c r="C17" s="40">
        <v>0</v>
      </c>
      <c r="D17" s="40"/>
      <c r="E17" s="40"/>
      <c r="F17" s="41"/>
      <c r="G17" s="41"/>
    </row>
    <row r="18" spans="1:7" ht="15" x14ac:dyDescent="0.2">
      <c r="A18" s="160" t="s">
        <v>89</v>
      </c>
      <c r="B18" s="160"/>
      <c r="C18" s="40">
        <v>0</v>
      </c>
      <c r="D18" s="40"/>
      <c r="E18" s="40"/>
      <c r="F18" s="41"/>
      <c r="G18" s="41"/>
    </row>
    <row r="19" spans="1:7" ht="15" x14ac:dyDescent="0.2">
      <c r="A19" s="160" t="s">
        <v>90</v>
      </c>
      <c r="B19" s="160"/>
      <c r="C19" s="41">
        <v>0</v>
      </c>
      <c r="D19" s="40"/>
      <c r="E19" s="41"/>
      <c r="F19" s="41"/>
      <c r="G19" s="41"/>
    </row>
    <row r="20" spans="1:7" ht="15" x14ac:dyDescent="0.2">
      <c r="A20" s="160" t="s">
        <v>91</v>
      </c>
      <c r="B20" s="160"/>
      <c r="C20" s="41" t="e">
        <f>C19/C18</f>
        <v>#DIV/0!</v>
      </c>
      <c r="D20" s="40"/>
      <c r="E20" s="50"/>
      <c r="F20" s="41"/>
      <c r="G20" s="41"/>
    </row>
    <row r="21" spans="1:7" ht="15" x14ac:dyDescent="0.2">
      <c r="A21" s="160" t="s">
        <v>92</v>
      </c>
      <c r="B21" s="160"/>
      <c r="C21" s="40" t="e">
        <f>C18/C17</f>
        <v>#DIV/0!</v>
      </c>
      <c r="D21" s="40"/>
      <c r="E21" s="41"/>
      <c r="F21" s="41"/>
      <c r="G21" s="41"/>
    </row>
    <row r="22" spans="1:7" x14ac:dyDescent="0.2">
      <c r="A22" s="25"/>
      <c r="B22" s="25"/>
      <c r="C22" s="25"/>
      <c r="D22" s="25"/>
      <c r="E22" s="25"/>
      <c r="F22" s="25"/>
      <c r="G22" s="25"/>
    </row>
    <row r="23" spans="1:7" x14ac:dyDescent="0.2">
      <c r="A23" s="25"/>
      <c r="B23" s="25"/>
      <c r="C23" s="25"/>
      <c r="D23" s="25"/>
      <c r="E23" s="25"/>
      <c r="F23" s="25"/>
      <c r="G23" s="25"/>
    </row>
  </sheetData>
  <mergeCells count="8">
    <mergeCell ref="A20:B20"/>
    <mergeCell ref="A21:B21"/>
    <mergeCell ref="A17:B17"/>
    <mergeCell ref="A1:G1"/>
    <mergeCell ref="A2:G2"/>
    <mergeCell ref="A3:G3"/>
    <mergeCell ref="A18:B18"/>
    <mergeCell ref="A19:B19"/>
  </mergeCells>
  <conditionalFormatting sqref="B5:B14">
    <cfRule type="duplicateValues" dxfId="6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83"/>
  <sheetViews>
    <sheetView tabSelected="1" zoomScale="55" zoomScaleNormal="55" zoomScaleSheetLayoutView="100" workbookViewId="0">
      <selection sqref="A1:N1"/>
    </sheetView>
  </sheetViews>
  <sheetFormatPr defaultRowHeight="12.75" x14ac:dyDescent="0.2"/>
  <cols>
    <col min="1" max="1" width="4.28515625" bestFit="1" customWidth="1"/>
    <col min="2" max="2" width="35.42578125" customWidth="1"/>
    <col min="3" max="3" width="14.5703125" style="23" customWidth="1"/>
    <col min="4" max="4" width="16.5703125" style="13" bestFit="1" customWidth="1"/>
    <col min="5" max="5" width="20.42578125" bestFit="1" customWidth="1"/>
    <col min="6" max="6" width="20.85546875" style="25" bestFit="1" customWidth="1"/>
    <col min="7" max="7" width="24.5703125" bestFit="1" customWidth="1"/>
    <col min="8" max="8" width="18" bestFit="1" customWidth="1"/>
    <col min="9" max="9" width="26.140625" bestFit="1" customWidth="1"/>
    <col min="10" max="10" width="24.5703125" bestFit="1" customWidth="1"/>
    <col min="11" max="11" width="21.42578125" bestFit="1" customWidth="1"/>
    <col min="12" max="12" width="26.42578125" bestFit="1" customWidth="1"/>
    <col min="13" max="13" width="18.85546875" bestFit="1" customWidth="1"/>
    <col min="14" max="14" width="12.42578125" customWidth="1"/>
  </cols>
  <sheetData>
    <row r="1" spans="1:18" ht="45.6" customHeight="1" x14ac:dyDescent="0.45">
      <c r="A1" s="186" t="s">
        <v>293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8" ht="51.6" customHeight="1" x14ac:dyDescent="0.7">
      <c r="A2" s="187" t="s">
        <v>273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8" ht="15.75" x14ac:dyDescent="0.25">
      <c r="A3" s="15"/>
      <c r="B3" s="24" t="s">
        <v>229</v>
      </c>
      <c r="C3" s="24" t="s">
        <v>181</v>
      </c>
      <c r="D3" s="22" t="s">
        <v>217</v>
      </c>
      <c r="E3" s="16" t="s">
        <v>276</v>
      </c>
      <c r="F3" s="16" t="s">
        <v>264</v>
      </c>
      <c r="G3" s="16" t="s">
        <v>230</v>
      </c>
      <c r="H3" s="16" t="s">
        <v>286</v>
      </c>
      <c r="I3" s="16" t="s">
        <v>218</v>
      </c>
      <c r="J3" s="16" t="s">
        <v>265</v>
      </c>
      <c r="K3" s="16" t="s">
        <v>256</v>
      </c>
      <c r="L3" s="16" t="s">
        <v>287</v>
      </c>
      <c r="M3" s="22" t="s">
        <v>288</v>
      </c>
      <c r="N3" s="16" t="s">
        <v>37</v>
      </c>
    </row>
    <row r="4" spans="1:18" ht="15" x14ac:dyDescent="0.2">
      <c r="A4" s="56">
        <v>1</v>
      </c>
      <c r="B4" s="108" t="s">
        <v>35</v>
      </c>
      <c r="C4" s="29">
        <f>IFERROR(VLOOKUP(B4,Table16[],12,FALSE),0)</f>
        <v>8.86</v>
      </c>
      <c r="D4" s="122">
        <f>IFERROR(VLOOKUP($B4,table1[],7, 0),"-")</f>
        <v>29</v>
      </c>
      <c r="E4" s="122">
        <f>IFERROR(VLOOKUP($B4,table2[],7, 0),"-")</f>
        <v>21</v>
      </c>
      <c r="F4" s="122">
        <f>IFERROR(VLOOKUP($B4,table3[],7, 0),"-")</f>
        <v>31</v>
      </c>
      <c r="G4" s="122">
        <f>IFERROR(VLOOKUP($B4,table4[],7, 0),"-")</f>
        <v>32</v>
      </c>
      <c r="H4" s="122">
        <f>IFERROR(VLOOKUP($B4,table5[],7, 0),"-")</f>
        <v>22</v>
      </c>
      <c r="I4" s="122" t="str">
        <f>IFERROR(VLOOKUP($B4,table6[],7, 0),"-")</f>
        <v>-</v>
      </c>
      <c r="J4" s="122" t="str">
        <f>IFERROR(VLOOKUP($B4,table7[],7, 0),"-")</f>
        <v>-</v>
      </c>
      <c r="K4" s="122" t="str">
        <f>IFERROR(VLOOKUP($B4,table8[],7, 0),"-")</f>
        <v>-</v>
      </c>
      <c r="L4" s="122" t="str">
        <f>IFERROR(VLOOKUP($B4,table9[],15, 0),"-")</f>
        <v>-</v>
      </c>
      <c r="M4" s="122" t="str">
        <f>IFERROR(VLOOKUP($B4,table10[],7, 0),"-")</f>
        <v>-</v>
      </c>
      <c r="N4" s="30">
        <f>SUM(D4:M4)</f>
        <v>135</v>
      </c>
      <c r="O4" s="29"/>
      <c r="P4" s="6"/>
      <c r="Q4" s="6"/>
      <c r="R4" s="6"/>
    </row>
    <row r="5" spans="1:18" ht="15" x14ac:dyDescent="0.2">
      <c r="A5" s="56">
        <v>2</v>
      </c>
      <c r="B5" s="107" t="s">
        <v>234</v>
      </c>
      <c r="C5" s="29">
        <f>IFERROR(VLOOKUP(B5,Table16[],12,FALSE),0)</f>
        <v>5.15</v>
      </c>
      <c r="D5" s="122">
        <f>IFERROR(VLOOKUP($B5,table1[],7, 0),"-")</f>
        <v>21</v>
      </c>
      <c r="E5" s="122">
        <f>IFERROR(VLOOKUP($B5,table2[],7, 0),"-")</f>
        <v>30</v>
      </c>
      <c r="F5" s="122">
        <f>IFERROR(VLOOKUP($B5,table3[],7, 0),"-")</f>
        <v>13</v>
      </c>
      <c r="G5" s="122">
        <f>IFERROR(VLOOKUP($B5,table4[],7, 0),"-")</f>
        <v>29</v>
      </c>
      <c r="H5" s="122">
        <f>IFERROR(VLOOKUP($B5,table5[],7, 0),"-")</f>
        <v>26</v>
      </c>
      <c r="I5" s="122" t="str">
        <f>IFERROR(VLOOKUP($B5,table6[],7, 0),"-")</f>
        <v>-</v>
      </c>
      <c r="J5" s="122" t="str">
        <f>IFERROR(VLOOKUP($B5,table7[],7, 0),"-")</f>
        <v>-</v>
      </c>
      <c r="K5" s="122" t="str">
        <f>IFERROR(VLOOKUP($B5,table8[],7, 0),"-")</f>
        <v>-</v>
      </c>
      <c r="L5" s="122" t="str">
        <f>IFERROR(VLOOKUP($B5,table9[],15, 0),"-")</f>
        <v>-</v>
      </c>
      <c r="M5" s="122" t="str">
        <f>IFERROR(VLOOKUP($B5,table10[],7, 0),"-")</f>
        <v>-</v>
      </c>
      <c r="N5" s="30">
        <f>SUM(D5:M5)</f>
        <v>119</v>
      </c>
      <c r="O5" s="30"/>
      <c r="P5" s="6"/>
      <c r="Q5" s="6"/>
      <c r="R5" s="6"/>
    </row>
    <row r="6" spans="1:18" ht="15" x14ac:dyDescent="0.2">
      <c r="A6" s="56">
        <v>3</v>
      </c>
      <c r="B6" s="107" t="s">
        <v>102</v>
      </c>
      <c r="C6" s="29">
        <f>IFERROR(VLOOKUP(B6,Table16[],12,FALSE),0)</f>
        <v>3.7</v>
      </c>
      <c r="D6" s="122">
        <f>IFERROR(VLOOKUP($B6,table1[],7, 0),"-")</f>
        <v>19</v>
      </c>
      <c r="E6" s="122">
        <f>IFERROR(VLOOKUP($B6,table2[],7, 0),"-")</f>
        <v>25</v>
      </c>
      <c r="F6" s="122">
        <f>IFERROR(VLOOKUP($B6,table3[],7, 0),"-")</f>
        <v>24</v>
      </c>
      <c r="G6" s="122">
        <f>IFERROR(VLOOKUP($B6,table4[],7, 0),"-")</f>
        <v>25</v>
      </c>
      <c r="H6" s="122">
        <f>IFERROR(VLOOKUP($B6,table5[],7, 0),"-")</f>
        <v>23</v>
      </c>
      <c r="I6" s="122" t="str">
        <f>IFERROR(VLOOKUP($B6,table6[],7, 0),"-")</f>
        <v>-</v>
      </c>
      <c r="J6" s="122" t="str">
        <f>IFERROR(VLOOKUP($B6,table7[],7, 0),"-")</f>
        <v>-</v>
      </c>
      <c r="K6" s="122" t="str">
        <f>IFERROR(VLOOKUP($B6,table8[],7, 0),"-")</f>
        <v>-</v>
      </c>
      <c r="L6" s="122" t="str">
        <f>IFERROR(VLOOKUP($B6,table9[],15, 0),"-")</f>
        <v>-</v>
      </c>
      <c r="M6" s="122" t="str">
        <f>IFERROR(VLOOKUP($B6,table10[],7, 0),"-")</f>
        <v>-</v>
      </c>
      <c r="N6" s="30">
        <f>SUM(D6:M6)</f>
        <v>116</v>
      </c>
      <c r="O6" s="30"/>
      <c r="P6" s="6"/>
      <c r="Q6" s="6"/>
      <c r="R6" s="6"/>
    </row>
    <row r="7" spans="1:18" ht="15" x14ac:dyDescent="0.2">
      <c r="A7" s="56">
        <v>4</v>
      </c>
      <c r="B7" s="107" t="s">
        <v>49</v>
      </c>
      <c r="C7" s="29">
        <f>IFERROR(VLOOKUP(B7,Table16[],12,FALSE),0)</f>
        <v>3.06</v>
      </c>
      <c r="D7" s="122">
        <f>IFERROR(VLOOKUP($B7,table1[],7, 0),"-")</f>
        <v>17</v>
      </c>
      <c r="E7" s="122">
        <f>IFERROR(VLOOKUP($B7,table2[],7, 0),"-")</f>
        <v>18</v>
      </c>
      <c r="F7" s="122">
        <f>IFERROR(VLOOKUP($B7,table3[],7, 0),"-")</f>
        <v>23</v>
      </c>
      <c r="G7" s="122">
        <f>IFERROR(VLOOKUP($B7,table4[],7, 0),"-")</f>
        <v>26</v>
      </c>
      <c r="H7" s="122">
        <f>IFERROR(VLOOKUP($B7,table5[],7, 0),"-")</f>
        <v>29</v>
      </c>
      <c r="I7" s="122" t="str">
        <f>IFERROR(VLOOKUP($B7,table6[],7, 0),"-")</f>
        <v>-</v>
      </c>
      <c r="J7" s="122" t="str">
        <f>IFERROR(VLOOKUP($B7,table7[],7, 0),"-")</f>
        <v>-</v>
      </c>
      <c r="K7" s="122" t="str">
        <f>IFERROR(VLOOKUP($B7,table8[],7, 0),"-")</f>
        <v>-</v>
      </c>
      <c r="L7" s="122" t="str">
        <f>IFERROR(VLOOKUP($B7,table9[],15, 0),"-")</f>
        <v>-</v>
      </c>
      <c r="M7" s="122" t="str">
        <f>IFERROR(VLOOKUP($B7,table10[],7, 0),"-")</f>
        <v>-</v>
      </c>
      <c r="N7" s="30">
        <f>SUM(D7:M7)</f>
        <v>113</v>
      </c>
      <c r="O7" s="14"/>
      <c r="Q7" s="25"/>
    </row>
    <row r="8" spans="1:18" s="14" customFormat="1" ht="15" x14ac:dyDescent="0.2">
      <c r="A8" s="56">
        <v>5</v>
      </c>
      <c r="B8" s="148" t="s">
        <v>148</v>
      </c>
      <c r="C8" s="29">
        <f>IFERROR(VLOOKUP(B8,Table16[],12,FALSE),0)</f>
        <v>3.93</v>
      </c>
      <c r="D8" s="122">
        <f>IFERROR(VLOOKUP($B8,table1[],7, 0),"-")</f>
        <v>2</v>
      </c>
      <c r="E8" s="122">
        <f>IFERROR(VLOOKUP($B8,table2[],7, 0),"-")</f>
        <v>32</v>
      </c>
      <c r="F8" s="122">
        <f>IFERROR(VLOOKUP($B8,table3[],7, 0),"-")</f>
        <v>16</v>
      </c>
      <c r="G8" s="122">
        <f>IFERROR(VLOOKUP($B8,table4[],7, 0),"-")</f>
        <v>30</v>
      </c>
      <c r="H8" s="122">
        <f>IFERROR(VLOOKUP($B8,table5[],7, 0),"-")</f>
        <v>31</v>
      </c>
      <c r="I8" s="122" t="str">
        <f>IFERROR(VLOOKUP($B8,table6[],7, 0),"-")</f>
        <v>-</v>
      </c>
      <c r="J8" s="122" t="str">
        <f>IFERROR(VLOOKUP($B8,table7[],7, 0),"-")</f>
        <v>-</v>
      </c>
      <c r="K8" s="122" t="str">
        <f>IFERROR(VLOOKUP($B8,table8[],7, 0),"-")</f>
        <v>-</v>
      </c>
      <c r="L8" s="122" t="str">
        <f>IFERROR(VLOOKUP($B8,table9[],15, 0),"-")</f>
        <v>-</v>
      </c>
      <c r="M8" s="122" t="str">
        <f>IFERROR(VLOOKUP($B8,table10[],7, 0),"-")</f>
        <v>-</v>
      </c>
      <c r="N8" s="30">
        <f>SUM(D8:M8)</f>
        <v>111</v>
      </c>
    </row>
    <row r="9" spans="1:18" ht="15" x14ac:dyDescent="0.2">
      <c r="A9" s="56">
        <v>6</v>
      </c>
      <c r="B9" s="107" t="s">
        <v>255</v>
      </c>
      <c r="C9" s="29">
        <f>IFERROR(VLOOKUP(B9,Table16[],12,FALSE),0)</f>
        <v>3.25</v>
      </c>
      <c r="D9" s="122">
        <f>IFERROR(VLOOKUP($B9,table1[],7, 0),"-")</f>
        <v>24</v>
      </c>
      <c r="E9" s="122">
        <f>IFERROR(VLOOKUP($B9,table2[],7, 0),"-")</f>
        <v>17</v>
      </c>
      <c r="F9" s="122">
        <f>IFERROR(VLOOKUP($B9,table3[],7, 0),"-")</f>
        <v>14</v>
      </c>
      <c r="G9" s="122">
        <f>IFERROR(VLOOKUP($B9,table4[],7, 0),"-")</f>
        <v>28</v>
      </c>
      <c r="H9" s="122">
        <f>IFERROR(VLOOKUP($B9,table5[],7, 0),"-")</f>
        <v>25</v>
      </c>
      <c r="I9" s="122" t="str">
        <f>IFERROR(VLOOKUP($B9,table6[],7, 0),"-")</f>
        <v>-</v>
      </c>
      <c r="J9" s="122" t="str">
        <f>IFERROR(VLOOKUP($B9,table7[],7, 0),"-")</f>
        <v>-</v>
      </c>
      <c r="K9" s="122" t="str">
        <f>IFERROR(VLOOKUP($B9,table8[],7, 0),"-")</f>
        <v>-</v>
      </c>
      <c r="L9" s="122" t="str">
        <f>IFERROR(VLOOKUP($B9,table9[],15, 0),"-")</f>
        <v>-</v>
      </c>
      <c r="M9" s="122" t="str">
        <f>IFERROR(VLOOKUP($B9,table10[],7, 0),"-")</f>
        <v>-</v>
      </c>
      <c r="N9" s="30">
        <f>SUM(D9:M9)</f>
        <v>108</v>
      </c>
      <c r="O9" s="28"/>
      <c r="P9" s="12"/>
      <c r="Q9" s="8"/>
      <c r="R9" s="12"/>
    </row>
    <row r="10" spans="1:18" ht="15" x14ac:dyDescent="0.2">
      <c r="A10" s="56">
        <v>7</v>
      </c>
      <c r="B10" s="107" t="s">
        <v>105</v>
      </c>
      <c r="C10" s="29">
        <f>IFERROR(VLOOKUP(B10,Table16[],12,FALSE),0)</f>
        <v>6.1</v>
      </c>
      <c r="D10" s="122">
        <f>IFERROR(VLOOKUP($B10,table1[],7, 0),"-")</f>
        <v>27</v>
      </c>
      <c r="E10" s="122">
        <f>IFERROR(VLOOKUP($B10,table2[],7, 0),"-")</f>
        <v>26</v>
      </c>
      <c r="F10" s="122">
        <f>IFERROR(VLOOKUP($B10,table3[],7, 0),"-")</f>
        <v>32</v>
      </c>
      <c r="G10" s="122">
        <f>IFERROR(VLOOKUP($B10,table4[],7, 0),"-")</f>
        <v>16</v>
      </c>
      <c r="H10" s="122">
        <f>IFERROR(VLOOKUP($B10,table5[],7, 0),"-")</f>
        <v>2</v>
      </c>
      <c r="I10" s="122" t="str">
        <f>IFERROR(VLOOKUP($B10,table6[],7, 0),"-")</f>
        <v>-</v>
      </c>
      <c r="J10" s="122" t="str">
        <f>IFERROR(VLOOKUP($B10,table7[],7, 0),"-")</f>
        <v>-</v>
      </c>
      <c r="K10" s="122" t="str">
        <f>IFERROR(VLOOKUP($B10,table8[],7, 0),"-")</f>
        <v>-</v>
      </c>
      <c r="L10" s="122" t="str">
        <f>IFERROR(VLOOKUP($B10,table9[],15, 0),"-")</f>
        <v>-</v>
      </c>
      <c r="M10" s="122" t="str">
        <f>IFERROR(VLOOKUP($B10,table10[],7, 0),"-")</f>
        <v>-</v>
      </c>
      <c r="N10" s="30">
        <f>SUM(D10:M10)</f>
        <v>103</v>
      </c>
      <c r="O10" s="30"/>
      <c r="P10" s="6"/>
      <c r="Q10" s="6"/>
      <c r="R10" s="6"/>
    </row>
    <row r="11" spans="1:18" ht="15" x14ac:dyDescent="0.2">
      <c r="A11" s="56">
        <v>8</v>
      </c>
      <c r="B11" s="107" t="s">
        <v>170</v>
      </c>
      <c r="C11" s="29">
        <f>IFERROR(VLOOKUP(B11,Table16[],12,FALSE),0)</f>
        <v>3.47</v>
      </c>
      <c r="D11" s="122">
        <f>IFERROR(VLOOKUP($B11,table1[],7, 0),"-")</f>
        <v>23</v>
      </c>
      <c r="E11" s="122">
        <f>IFERROR(VLOOKUP($B11,table2[],7, 0),"-")</f>
        <v>23</v>
      </c>
      <c r="F11" s="122">
        <f>IFERROR(VLOOKUP($B11,table3[],7, 0),"-")</f>
        <v>22</v>
      </c>
      <c r="G11" s="122">
        <f>IFERROR(VLOOKUP($B11,table4[],7, 0),"-")</f>
        <v>11</v>
      </c>
      <c r="H11" s="122">
        <f>IFERROR(VLOOKUP($B11,table5[],7, 0),"-")</f>
        <v>24</v>
      </c>
      <c r="I11" s="122" t="str">
        <f>IFERROR(VLOOKUP($B11,table6[],7, 0),"-")</f>
        <v>-</v>
      </c>
      <c r="J11" s="122" t="str">
        <f>IFERROR(VLOOKUP($B11,table7[],7, 0),"-")</f>
        <v>-</v>
      </c>
      <c r="K11" s="122" t="str">
        <f>IFERROR(VLOOKUP($B11,table8[],7, 0),"-")</f>
        <v>-</v>
      </c>
      <c r="L11" s="122" t="str">
        <f>IFERROR(VLOOKUP($B11,table9[],15, 0),"-")</f>
        <v>-</v>
      </c>
      <c r="M11" s="122" t="str">
        <f>IFERROR(VLOOKUP($B11,table10[],7, 0),"-")</f>
        <v>-</v>
      </c>
      <c r="N11" s="30">
        <f>SUM(D11:M11)</f>
        <v>103</v>
      </c>
      <c r="O11" s="30"/>
      <c r="P11" s="6"/>
      <c r="Q11" s="6"/>
      <c r="R11" s="6"/>
    </row>
    <row r="12" spans="1:18" ht="15" x14ac:dyDescent="0.2">
      <c r="A12" s="56">
        <v>9</v>
      </c>
      <c r="B12" s="148" t="s">
        <v>189</v>
      </c>
      <c r="C12" s="29">
        <f>IFERROR(VLOOKUP(B12,Table16[],12,FALSE),0)</f>
        <v>3.06</v>
      </c>
      <c r="D12" s="122" t="str">
        <f>IFERROR(VLOOKUP($B12,table1[],7, 0),"-")</f>
        <v>-</v>
      </c>
      <c r="E12" s="122">
        <f>IFERROR(VLOOKUP($B12,table2[],7, 0),"-")</f>
        <v>28</v>
      </c>
      <c r="F12" s="122">
        <f>IFERROR(VLOOKUP($B12,table3[],7, 0),"-")</f>
        <v>19</v>
      </c>
      <c r="G12" s="122">
        <f>IFERROR(VLOOKUP($B12,table4[],7, 0),"-")</f>
        <v>24</v>
      </c>
      <c r="H12" s="122">
        <f>IFERROR(VLOOKUP($B12,table5[],7, 0),"-")</f>
        <v>32</v>
      </c>
      <c r="I12" s="122" t="str">
        <f>IFERROR(VLOOKUP($B12,table6[],7, 0),"-")</f>
        <v>-</v>
      </c>
      <c r="J12" s="122" t="str">
        <f>IFERROR(VLOOKUP($B12,table7[],7, 0),"-")</f>
        <v>-</v>
      </c>
      <c r="K12" s="122" t="str">
        <f>IFERROR(VLOOKUP($B12,table8[],7, 0),"-")</f>
        <v>-</v>
      </c>
      <c r="L12" s="122" t="str">
        <f>IFERROR(VLOOKUP($B12,table9[],15, 0),"-")</f>
        <v>-</v>
      </c>
      <c r="M12" s="122" t="str">
        <f>IFERROR(VLOOKUP($B12,table10[],7, 0),"-")</f>
        <v>-</v>
      </c>
      <c r="N12" s="30">
        <f>SUM(D12:M12)</f>
        <v>103</v>
      </c>
      <c r="O12" s="14"/>
    </row>
    <row r="13" spans="1:18" ht="15" x14ac:dyDescent="0.2">
      <c r="A13" s="56">
        <v>10</v>
      </c>
      <c r="B13" s="107" t="s">
        <v>145</v>
      </c>
      <c r="C13" s="29">
        <f>IFERROR(VLOOKUP(B13,Table16[],12,FALSE),0)</f>
        <v>3.64</v>
      </c>
      <c r="D13" s="122">
        <f>IFERROR(VLOOKUP($B13,table1[],7, 0),"-")</f>
        <v>28</v>
      </c>
      <c r="E13" s="122">
        <f>IFERROR(VLOOKUP($B13,table2[],7, 0),"-")</f>
        <v>24</v>
      </c>
      <c r="F13" s="122">
        <f>IFERROR(VLOOKUP($B13,table3[],7, 0),"-")</f>
        <v>20</v>
      </c>
      <c r="G13" s="122">
        <f>IFERROR(VLOOKUP($B13,table4[],7, 0),"-")</f>
        <v>27</v>
      </c>
      <c r="H13" s="122">
        <f>IFERROR(VLOOKUP($B13,table5[],7, 0),"-")</f>
        <v>2</v>
      </c>
      <c r="I13" s="122" t="str">
        <f>IFERROR(VLOOKUP($B13,table6[],7, 0),"-")</f>
        <v>-</v>
      </c>
      <c r="J13" s="122" t="str">
        <f>IFERROR(VLOOKUP($B13,table7[],7, 0),"-")</f>
        <v>-</v>
      </c>
      <c r="K13" s="122" t="str">
        <f>IFERROR(VLOOKUP($B13,table8[],7, 0),"-")</f>
        <v>-</v>
      </c>
      <c r="L13" s="122" t="str">
        <f>IFERROR(VLOOKUP($B13,table9[],15, 0),"-")</f>
        <v>-</v>
      </c>
      <c r="M13" s="122" t="str">
        <f>IFERROR(VLOOKUP($B13,table10[],7, 0),"-")</f>
        <v>-</v>
      </c>
      <c r="N13" s="30">
        <f>SUM(D13:M13)</f>
        <v>101</v>
      </c>
      <c r="O13" s="14"/>
    </row>
    <row r="14" spans="1:18" ht="15" x14ac:dyDescent="0.2">
      <c r="A14" s="56">
        <v>11</v>
      </c>
      <c r="B14" s="107" t="s">
        <v>175</v>
      </c>
      <c r="C14" s="29">
        <f>IFERROR(VLOOKUP(B14,Table16[],12,FALSE),0)</f>
        <v>3.46</v>
      </c>
      <c r="D14" s="122">
        <f>IFERROR(VLOOKUP($B14,table1[],7, 0),"-")</f>
        <v>22</v>
      </c>
      <c r="E14" s="122">
        <f>IFERROR(VLOOKUP($B14,table2[],7, 0),"-")</f>
        <v>29</v>
      </c>
      <c r="F14" s="122">
        <f>IFERROR(VLOOKUP($B14,table3[],7, 0),"-")</f>
        <v>25</v>
      </c>
      <c r="G14" s="122">
        <f>IFERROR(VLOOKUP($B14,table4[],7, 0),"-")</f>
        <v>22</v>
      </c>
      <c r="H14" s="122">
        <f>IFERROR(VLOOKUP($B14,table5[],7, 0),"-")</f>
        <v>2</v>
      </c>
      <c r="I14" s="122" t="str">
        <f>IFERROR(VLOOKUP($B14,table6[],7, 0),"-")</f>
        <v>-</v>
      </c>
      <c r="J14" s="122" t="str">
        <f>IFERROR(VLOOKUP($B14,table7[],7, 0),"-")</f>
        <v>-</v>
      </c>
      <c r="K14" s="122" t="str">
        <f>IFERROR(VLOOKUP($B14,table8[],7, 0),"-")</f>
        <v>-</v>
      </c>
      <c r="L14" s="122" t="str">
        <f>IFERROR(VLOOKUP($B14,table9[],15, 0),"-")</f>
        <v>-</v>
      </c>
      <c r="M14" s="122" t="str">
        <f>IFERROR(VLOOKUP($B14,table10[],7, 0),"-")</f>
        <v>-</v>
      </c>
      <c r="N14" s="30">
        <f>SUM(D14:M14)</f>
        <v>100</v>
      </c>
      <c r="O14" s="29"/>
      <c r="P14" s="6"/>
      <c r="Q14" s="6"/>
      <c r="R14" s="6"/>
    </row>
    <row r="15" spans="1:18" ht="15" x14ac:dyDescent="0.2">
      <c r="A15" s="56">
        <v>12</v>
      </c>
      <c r="B15" s="148" t="s">
        <v>266</v>
      </c>
      <c r="C15" s="29">
        <f>IFERROR(VLOOKUP(B15,Table16[],12,FALSE),0)</f>
        <v>3.49</v>
      </c>
      <c r="D15" s="122" t="str">
        <f>IFERROR(VLOOKUP($B15,table1[],7, 0),"-")</f>
        <v>-</v>
      </c>
      <c r="E15" s="122">
        <f>IFERROR(VLOOKUP($B15,table2[],7, 0),"-")</f>
        <v>27</v>
      </c>
      <c r="F15" s="122">
        <f>IFERROR(VLOOKUP($B15,table3[],7, 0),"-")</f>
        <v>17</v>
      </c>
      <c r="G15" s="122">
        <f>IFERROR(VLOOKUP($B15,table4[],7, 0),"-")</f>
        <v>31</v>
      </c>
      <c r="H15" s="122">
        <f>IFERROR(VLOOKUP($B15,table5[],7, 0),"-")</f>
        <v>21</v>
      </c>
      <c r="I15" s="122" t="str">
        <f>IFERROR(VLOOKUP($B15,table6[],7, 0),"-")</f>
        <v>-</v>
      </c>
      <c r="J15" s="122" t="str">
        <f>IFERROR(VLOOKUP($B15,table7[],7, 0),"-")</f>
        <v>-</v>
      </c>
      <c r="K15" s="122" t="str">
        <f>IFERROR(VLOOKUP($B15,table8[],7, 0),"-")</f>
        <v>-</v>
      </c>
      <c r="L15" s="122" t="str">
        <f>IFERROR(VLOOKUP($B15,table9[],15, 0),"-")</f>
        <v>-</v>
      </c>
      <c r="M15" s="122" t="str">
        <f>IFERROR(VLOOKUP($B15,table10[],7, 0),"-")</f>
        <v>-</v>
      </c>
      <c r="N15" s="30">
        <f>SUM(D15:M15)</f>
        <v>96</v>
      </c>
      <c r="O15" s="30"/>
      <c r="P15" s="30"/>
      <c r="Q15" s="6"/>
      <c r="R15" s="6"/>
    </row>
    <row r="16" spans="1:18" s="25" customFormat="1" ht="15" x14ac:dyDescent="0.2">
      <c r="A16" s="56">
        <v>13</v>
      </c>
      <c r="B16" s="107" t="s">
        <v>84</v>
      </c>
      <c r="C16" s="29">
        <f>IFERROR(VLOOKUP(B16,Table16[],12,FALSE),0)</f>
        <v>3.31</v>
      </c>
      <c r="D16" s="122">
        <f>IFERROR(VLOOKUP($B16,table1[],7, 0),"-")</f>
        <v>20</v>
      </c>
      <c r="E16" s="122">
        <f>IFERROR(VLOOKUP($B16,table2[],7, 0),"-")</f>
        <v>14</v>
      </c>
      <c r="F16" s="122">
        <f>IFERROR(VLOOKUP($B16,table3[],7, 0),"-")</f>
        <v>15</v>
      </c>
      <c r="G16" s="122">
        <f>IFERROR(VLOOKUP($B16,table4[],7, 0),"-")</f>
        <v>21</v>
      </c>
      <c r="H16" s="122">
        <f>IFERROR(VLOOKUP($B16,table5[],7, 0),"-")</f>
        <v>19</v>
      </c>
      <c r="I16" s="122" t="str">
        <f>IFERROR(VLOOKUP($B16,table6[],7, 0),"-")</f>
        <v>-</v>
      </c>
      <c r="J16" s="122" t="str">
        <f>IFERROR(VLOOKUP($B16,table7[],7, 0),"-")</f>
        <v>-</v>
      </c>
      <c r="K16" s="122" t="str">
        <f>IFERROR(VLOOKUP($B16,table8[],7, 0),"-")</f>
        <v>-</v>
      </c>
      <c r="L16" s="122" t="str">
        <f>IFERROR(VLOOKUP($B16,table9[],15, 0),"-")</f>
        <v>-</v>
      </c>
      <c r="M16" s="122" t="str">
        <f>IFERROR(VLOOKUP($B16,table10[],7, 0),"-")</f>
        <v>-</v>
      </c>
      <c r="N16" s="30">
        <f>SUM(D16:M16)</f>
        <v>89</v>
      </c>
      <c r="O16" s="30"/>
      <c r="P16" s="30"/>
      <c r="Q16" s="26"/>
      <c r="R16" s="26"/>
    </row>
    <row r="17" spans="1:18" ht="15" x14ac:dyDescent="0.2">
      <c r="A17" s="56">
        <v>14</v>
      </c>
      <c r="B17" s="107" t="s">
        <v>33</v>
      </c>
      <c r="C17" s="29">
        <f>IFERROR(VLOOKUP(B17,Table16[],12,FALSE),0)</f>
        <v>4.92</v>
      </c>
      <c r="D17" s="122">
        <f>IFERROR(VLOOKUP($B17,table1[],7, 0),"-")</f>
        <v>30</v>
      </c>
      <c r="E17" s="122">
        <f>IFERROR(VLOOKUP($B17,table2[],7, 0),"-")</f>
        <v>31</v>
      </c>
      <c r="F17" s="122">
        <f>IFERROR(VLOOKUP($B17,table3[],7, 0),"-")</f>
        <v>12</v>
      </c>
      <c r="G17" s="122">
        <f>IFERROR(VLOOKUP($B17,table4[],7, 0),"-")</f>
        <v>10</v>
      </c>
      <c r="H17" s="122">
        <f>IFERROR(VLOOKUP($B17,table5[],7, 0),"-")</f>
        <v>2</v>
      </c>
      <c r="I17" s="122" t="str">
        <f>IFERROR(VLOOKUP($B17,table6[],7, 0),"-")</f>
        <v>-</v>
      </c>
      <c r="J17" s="122" t="str">
        <f>IFERROR(VLOOKUP($B17,table7[],7, 0),"-")</f>
        <v>-</v>
      </c>
      <c r="K17" s="122" t="str">
        <f>IFERROR(VLOOKUP($B17,table8[],7, 0),"-")</f>
        <v>-</v>
      </c>
      <c r="L17" s="122" t="str">
        <f>IFERROR(VLOOKUP($B17,table9[],15, 0),"-")</f>
        <v>-</v>
      </c>
      <c r="M17" s="122" t="str">
        <f>IFERROR(VLOOKUP($B17,table10[],7, 0),"-")</f>
        <v>-</v>
      </c>
      <c r="N17" s="30">
        <f>SUM(D17:M17)</f>
        <v>85</v>
      </c>
      <c r="O17" s="14"/>
    </row>
    <row r="18" spans="1:18" ht="15" x14ac:dyDescent="0.2">
      <c r="A18" s="56">
        <v>15</v>
      </c>
      <c r="B18" s="107" t="s">
        <v>269</v>
      </c>
      <c r="C18" s="29">
        <f>IFERROR(VLOOKUP(B18,Table16[],12,FALSE),0)</f>
        <v>3.21</v>
      </c>
      <c r="D18" s="122">
        <f>IFERROR(VLOOKUP($B18,table1[],7, 0),"-")</f>
        <v>31</v>
      </c>
      <c r="E18" s="122">
        <f>IFERROR(VLOOKUP($B18,table2[],7, 0),"-")</f>
        <v>11</v>
      </c>
      <c r="F18" s="122">
        <f>IFERROR(VLOOKUP($B18,table3[],7, 0),"-")</f>
        <v>30</v>
      </c>
      <c r="G18" s="122">
        <f>IFERROR(VLOOKUP($B18,table4[],7, 0),"-")</f>
        <v>6</v>
      </c>
      <c r="H18" s="122">
        <f>IFERROR(VLOOKUP($B18,table5[],7, 0),"-")</f>
        <v>2</v>
      </c>
      <c r="I18" s="122" t="str">
        <f>IFERROR(VLOOKUP($B18,table6[],7, 0),"-")</f>
        <v>-</v>
      </c>
      <c r="J18" s="122" t="str">
        <f>IFERROR(VLOOKUP($B18,table7[],7, 0),"-")</f>
        <v>-</v>
      </c>
      <c r="K18" s="122" t="str">
        <f>IFERROR(VLOOKUP($B18,table8[],7, 0),"-")</f>
        <v>-</v>
      </c>
      <c r="L18" s="122" t="str">
        <f>IFERROR(VLOOKUP($B18,table9[],15, 0),"-")</f>
        <v>-</v>
      </c>
      <c r="M18" s="122" t="str">
        <f>IFERROR(VLOOKUP($B18,table10[],7, 0),"-")</f>
        <v>-</v>
      </c>
      <c r="N18" s="30">
        <f>SUM(D18:M18)</f>
        <v>80</v>
      </c>
      <c r="O18" s="14"/>
    </row>
    <row r="19" spans="1:18" ht="15" x14ac:dyDescent="0.2">
      <c r="A19" s="56">
        <v>16</v>
      </c>
      <c r="B19" s="148" t="s">
        <v>32</v>
      </c>
      <c r="C19" s="29">
        <f>IFERROR(VLOOKUP(B19,Table16[],12,FALSE),0)</f>
        <v>3.76</v>
      </c>
      <c r="D19" s="122">
        <f>IFERROR(VLOOKUP($B19,table1[],7, 0),"-")</f>
        <v>32</v>
      </c>
      <c r="E19" s="122">
        <f>IFERROR(VLOOKUP($B19,table2[],7, 0),"-")</f>
        <v>20</v>
      </c>
      <c r="F19" s="122">
        <f>IFERROR(VLOOKUP($B19,table3[],7, 0),"-")</f>
        <v>10</v>
      </c>
      <c r="G19" s="122">
        <f>IFERROR(VLOOKUP($B19,table4[],7, 0),"-")</f>
        <v>13</v>
      </c>
      <c r="H19" s="122">
        <f>IFERROR(VLOOKUP($B19,table5[],7, 0),"-")</f>
        <v>2</v>
      </c>
      <c r="I19" s="122" t="str">
        <f>IFERROR(VLOOKUP($B19,table6[],7, 0),"-")</f>
        <v>-</v>
      </c>
      <c r="J19" s="122" t="str">
        <f>IFERROR(VLOOKUP($B19,table7[],7, 0),"-")</f>
        <v>-</v>
      </c>
      <c r="K19" s="122" t="str">
        <f>IFERROR(VLOOKUP($B19,table8[],7, 0),"-")</f>
        <v>-</v>
      </c>
      <c r="L19" s="122" t="str">
        <f>IFERROR(VLOOKUP($B19,table9[],15, 0),"-")</f>
        <v>-</v>
      </c>
      <c r="M19" s="122" t="str">
        <f>IFERROR(VLOOKUP($B19,table10[],7, 0),"-")</f>
        <v>-</v>
      </c>
      <c r="N19" s="30">
        <f>SUM(D19:M19)</f>
        <v>77</v>
      </c>
      <c r="O19" s="29"/>
    </row>
    <row r="20" spans="1:18" ht="15" x14ac:dyDescent="0.2">
      <c r="A20" s="56">
        <v>17</v>
      </c>
      <c r="B20" s="107" t="s">
        <v>54</v>
      </c>
      <c r="C20" s="29">
        <f>IFERROR(VLOOKUP(B20,Table16[],12,FALSE),0)</f>
        <v>3.19</v>
      </c>
      <c r="D20" s="122">
        <f>IFERROR(VLOOKUP($B20,table1[],7, 0),"-")</f>
        <v>13</v>
      </c>
      <c r="E20" s="122">
        <f>IFERROR(VLOOKUP($B20,table2[],7, 0),"-")</f>
        <v>19</v>
      </c>
      <c r="F20" s="122">
        <f>IFERROR(VLOOKUP($B20,table3[],7, 0),"-")</f>
        <v>26</v>
      </c>
      <c r="G20" s="122">
        <f>IFERROR(VLOOKUP($B20,table4[],7, 0),"-")</f>
        <v>14</v>
      </c>
      <c r="H20" s="122">
        <f>IFERROR(VLOOKUP($B20,table5[],7, 0),"-")</f>
        <v>2</v>
      </c>
      <c r="I20" s="122" t="str">
        <f>IFERROR(VLOOKUP($B20,table6[],7, 0),"-")</f>
        <v>-</v>
      </c>
      <c r="J20" s="122" t="str">
        <f>IFERROR(VLOOKUP($B20,table7[],7, 0),"-")</f>
        <v>-</v>
      </c>
      <c r="K20" s="122" t="str">
        <f>IFERROR(VLOOKUP($B20,table8[],7, 0),"-")</f>
        <v>-</v>
      </c>
      <c r="L20" s="122" t="str">
        <f>IFERROR(VLOOKUP($B20,table9[],15, 0),"-")</f>
        <v>-</v>
      </c>
      <c r="M20" s="122" t="str">
        <f>IFERROR(VLOOKUP($B20,table10[],7, 0),"-")</f>
        <v>-</v>
      </c>
      <c r="N20" s="30">
        <f>SUM(D20:M20)</f>
        <v>74</v>
      </c>
      <c r="O20" s="30"/>
      <c r="P20" s="6"/>
      <c r="Q20" s="6"/>
      <c r="R20" s="6"/>
    </row>
    <row r="21" spans="1:18" ht="15" x14ac:dyDescent="0.2">
      <c r="A21" s="56">
        <v>18</v>
      </c>
      <c r="B21" s="107" t="s">
        <v>48</v>
      </c>
      <c r="C21" s="29">
        <f>IFERROR(VLOOKUP(B21,Table16[],12,FALSE),0)</f>
        <v>3.52</v>
      </c>
      <c r="D21" s="122">
        <f>IFERROR(VLOOKUP($B21,table1[],7, 0),"-")</f>
        <v>7</v>
      </c>
      <c r="E21" s="122">
        <f>IFERROR(VLOOKUP($B21,table2[],7, 0),"-")</f>
        <v>10</v>
      </c>
      <c r="F21" s="122">
        <f>IFERROR(VLOOKUP($B21,table3[],7, 0),"-")</f>
        <v>29</v>
      </c>
      <c r="G21" s="122">
        <f>IFERROR(VLOOKUP($B21,table4[],7, 0),"-")</f>
        <v>23</v>
      </c>
      <c r="H21" s="122">
        <f>IFERROR(VLOOKUP($B21,table5[],7, 0),"-")</f>
        <v>2</v>
      </c>
      <c r="I21" s="122" t="str">
        <f>IFERROR(VLOOKUP($B21,table6[],7, 0),"-")</f>
        <v>-</v>
      </c>
      <c r="J21" s="122" t="str">
        <f>IFERROR(VLOOKUP($B21,table7[],7, 0),"-")</f>
        <v>-</v>
      </c>
      <c r="K21" s="122" t="str">
        <f>IFERROR(VLOOKUP($B21,table8[],7, 0),"-")</f>
        <v>-</v>
      </c>
      <c r="L21" s="122" t="str">
        <f>IFERROR(VLOOKUP($B21,table9[],15, 0),"-")</f>
        <v>-</v>
      </c>
      <c r="M21" s="122" t="str">
        <f>IFERROR(VLOOKUP($B21,table10[],7, 0),"-")</f>
        <v>-</v>
      </c>
      <c r="N21" s="30">
        <f>SUM(D21:M21)</f>
        <v>71</v>
      </c>
      <c r="O21" s="30"/>
      <c r="P21" s="6"/>
      <c r="Q21" s="6"/>
      <c r="R21" s="6"/>
    </row>
    <row r="22" spans="1:18" ht="15" x14ac:dyDescent="0.2">
      <c r="A22" s="56">
        <v>19</v>
      </c>
      <c r="B22" s="107" t="s">
        <v>53</v>
      </c>
      <c r="C22" s="29">
        <f>IFERROR(VLOOKUP(B22,Table16[],12,FALSE),0)</f>
        <v>2.27</v>
      </c>
      <c r="D22" s="122">
        <f>IFERROR(VLOOKUP($B22,table1[],7, 0),"-")</f>
        <v>16</v>
      </c>
      <c r="E22" s="122">
        <f>IFERROR(VLOOKUP($B22,table2[],7, 0),"-")</f>
        <v>16</v>
      </c>
      <c r="F22" s="122" t="str">
        <f>IFERROR(VLOOKUP($B22,table3[],7, 0),"-")</f>
        <v>-</v>
      </c>
      <c r="G22" s="122" t="str">
        <f>IFERROR(VLOOKUP($B22,table4[],7, 0),"-")</f>
        <v>-</v>
      </c>
      <c r="H22" s="122">
        <f>IFERROR(VLOOKUP($B22,table5[],7, 0),"-")</f>
        <v>28</v>
      </c>
      <c r="I22" s="122" t="str">
        <f>IFERROR(VLOOKUP($B22,table6[],7, 0),"-")</f>
        <v>-</v>
      </c>
      <c r="J22" s="122" t="str">
        <f>IFERROR(VLOOKUP($B22,table7[],7, 0),"-")</f>
        <v>-</v>
      </c>
      <c r="K22" s="122" t="str">
        <f>IFERROR(VLOOKUP($B22,table8[],7, 0),"-")</f>
        <v>-</v>
      </c>
      <c r="L22" s="122" t="str">
        <f>IFERROR(VLOOKUP($B22,table9[],15, 0),"-")</f>
        <v>-</v>
      </c>
      <c r="M22" s="122" t="str">
        <f>IFERROR(VLOOKUP($B22,table10[],7, 0),"-")</f>
        <v>-</v>
      </c>
      <c r="N22" s="30">
        <f>SUM(D22:M22)</f>
        <v>60</v>
      </c>
      <c r="O22" s="14"/>
    </row>
    <row r="23" spans="1:18" s="25" customFormat="1" ht="15" x14ac:dyDescent="0.2">
      <c r="A23" s="56">
        <v>20</v>
      </c>
      <c r="B23" s="107" t="s">
        <v>268</v>
      </c>
      <c r="C23" s="29">
        <f>IFERROR(VLOOKUP(B23,Table16[],12,FALSE),0)</f>
        <v>8.69</v>
      </c>
      <c r="D23" s="122" t="str">
        <f>IFERROR(VLOOKUP($B23,table1[],7, 0),"-")</f>
        <v>TPF</v>
      </c>
      <c r="E23" s="122">
        <f>IFERROR(VLOOKUP($B23,table2[],7, 0),"-")</f>
        <v>22</v>
      </c>
      <c r="F23" s="122" t="str">
        <f>IFERROR(VLOOKUP($B23,table3[],7, 0),"-")</f>
        <v>-</v>
      </c>
      <c r="G23" s="122">
        <f>IFERROR(VLOOKUP($B23,table4[],7, 0),"-")</f>
        <v>7</v>
      </c>
      <c r="H23" s="122">
        <f>IFERROR(VLOOKUP($B23,table5[],7, 0),"-")</f>
        <v>30</v>
      </c>
      <c r="I23" s="122" t="str">
        <f>IFERROR(VLOOKUP($B23,table6[],7, 0),"-")</f>
        <v>-</v>
      </c>
      <c r="J23" s="122" t="str">
        <f>IFERROR(VLOOKUP($B23,table7[],7, 0),"-")</f>
        <v>-</v>
      </c>
      <c r="K23" s="122" t="str">
        <f>IFERROR(VLOOKUP($B23,table8[],7, 0),"-")</f>
        <v>-</v>
      </c>
      <c r="L23" s="122" t="str">
        <f>IFERROR(VLOOKUP($B23,table9[],15, 0),"-")</f>
        <v>-</v>
      </c>
      <c r="M23" s="122" t="str">
        <f>IFERROR(VLOOKUP($B23,table10[],7, 0),"-")</f>
        <v>-</v>
      </c>
      <c r="N23" s="30">
        <f>SUM(D23:M23)</f>
        <v>59</v>
      </c>
      <c r="O23" s="14"/>
    </row>
    <row r="24" spans="1:18" ht="15" x14ac:dyDescent="0.2">
      <c r="A24" s="56">
        <v>21</v>
      </c>
      <c r="B24" s="107" t="s">
        <v>240</v>
      </c>
      <c r="C24" s="29">
        <f>IFERROR(VLOOKUP(B24,Table16[],12,FALSE),0)</f>
        <v>4.8499999999999996</v>
      </c>
      <c r="D24" s="122" t="str">
        <f>IFERROR(VLOOKUP($B24,table1[],7, 0),"-")</f>
        <v>-</v>
      </c>
      <c r="E24" s="122" t="str">
        <f>IFERROR(VLOOKUP($B24,table2[],7, 0),"-")</f>
        <v>-</v>
      </c>
      <c r="F24" s="122">
        <f>IFERROR(VLOOKUP($B24,table3[],7, 0),"-")</f>
        <v>28</v>
      </c>
      <c r="G24" s="122">
        <f>IFERROR(VLOOKUP($B24,table4[],7, 0),"-")</f>
        <v>2</v>
      </c>
      <c r="H24" s="122">
        <f>IFERROR(VLOOKUP($B24,table5[],7, 0),"-")</f>
        <v>27</v>
      </c>
      <c r="I24" s="122" t="str">
        <f>IFERROR(VLOOKUP($B24,table6[],7, 0),"-")</f>
        <v>-</v>
      </c>
      <c r="J24" s="122" t="str">
        <f>IFERROR(VLOOKUP($B24,table7[],7, 0),"-")</f>
        <v>-</v>
      </c>
      <c r="K24" s="122" t="str">
        <f>IFERROR(VLOOKUP($B24,table8[],7, 0),"-")</f>
        <v>-</v>
      </c>
      <c r="L24" s="122" t="str">
        <f>IFERROR(VLOOKUP($B24,table9[],15, 0),"-")</f>
        <v>-</v>
      </c>
      <c r="M24" s="122" t="str">
        <f>IFERROR(VLOOKUP($B24,table10[],7, 0),"-")</f>
        <v>-</v>
      </c>
      <c r="N24" s="30">
        <f>SUM(D24:M24)</f>
        <v>57</v>
      </c>
      <c r="O24" s="29"/>
      <c r="P24" s="6"/>
      <c r="Q24" s="6"/>
      <c r="R24" s="6"/>
    </row>
    <row r="25" spans="1:18" ht="15" x14ac:dyDescent="0.2">
      <c r="A25" s="56">
        <v>22</v>
      </c>
      <c r="B25" s="148" t="s">
        <v>277</v>
      </c>
      <c r="C25" s="29">
        <f>IFERROR(VLOOKUP(B25,Table16[],12,FALSE),0)</f>
        <v>3.52</v>
      </c>
      <c r="D25" s="122" t="str">
        <f>IFERROR(VLOOKUP($B25,table1[],7, 0),"-")</f>
        <v>-</v>
      </c>
      <c r="E25" s="122" t="str">
        <f>IFERROR(VLOOKUP($B25,table2[],7, 0),"-")</f>
        <v>TPF</v>
      </c>
      <c r="F25" s="122">
        <f>IFERROR(VLOOKUP($B25,table3[],7, 0),"-")</f>
        <v>18</v>
      </c>
      <c r="G25" s="122">
        <f>IFERROR(VLOOKUP($B25,table4[],7, 0),"-")</f>
        <v>18</v>
      </c>
      <c r="H25" s="122">
        <f>IFERROR(VLOOKUP($B25,table5[],7, 0),"-")</f>
        <v>20</v>
      </c>
      <c r="I25" s="122" t="str">
        <f>IFERROR(VLOOKUP($B25,table6[],7, 0),"-")</f>
        <v>-</v>
      </c>
      <c r="J25" s="122" t="str">
        <f>IFERROR(VLOOKUP($B25,table7[],7, 0),"-")</f>
        <v>-</v>
      </c>
      <c r="K25" s="122" t="str">
        <f>IFERROR(VLOOKUP($B25,table8[],7, 0),"-")</f>
        <v>-</v>
      </c>
      <c r="L25" s="122" t="str">
        <f>IFERROR(VLOOKUP($B25,table9[],15, 0),"-")</f>
        <v>-</v>
      </c>
      <c r="M25" s="122" t="str">
        <f>IFERROR(VLOOKUP($B25,table10[],7, 0),"-")</f>
        <v>-</v>
      </c>
      <c r="N25" s="30">
        <f>SUM(D25:M25)</f>
        <v>56</v>
      </c>
      <c r="O25" s="30"/>
      <c r="P25" s="6"/>
      <c r="Q25" s="6"/>
      <c r="R25" s="6"/>
    </row>
    <row r="26" spans="1:18" ht="15" x14ac:dyDescent="0.2">
      <c r="A26" s="56">
        <v>23</v>
      </c>
      <c r="B26" s="107" t="s">
        <v>56</v>
      </c>
      <c r="C26" s="29">
        <f>IFERROR(VLOOKUP(B26,Table16[],12,FALSE),0)</f>
        <v>2.8</v>
      </c>
      <c r="D26" s="122">
        <f>IFERROR(VLOOKUP($B26,table1[],7, 0),"-")</f>
        <v>12</v>
      </c>
      <c r="E26" s="122">
        <f>IFERROR(VLOOKUP($B26,table2[],7, 0),"-")</f>
        <v>12</v>
      </c>
      <c r="F26" s="122">
        <f>IFERROR(VLOOKUP($B26,table3[],7, 0),"-")</f>
        <v>8</v>
      </c>
      <c r="G26" s="122">
        <f>IFERROR(VLOOKUP($B26,table4[],7, 0),"-")</f>
        <v>15</v>
      </c>
      <c r="H26" s="122">
        <f>IFERROR(VLOOKUP($B26,table5[],7, 0),"-")</f>
        <v>2</v>
      </c>
      <c r="I26" s="122" t="str">
        <f>IFERROR(VLOOKUP($B26,table6[],7, 0),"-")</f>
        <v>-</v>
      </c>
      <c r="J26" s="122" t="str">
        <f>IFERROR(VLOOKUP($B26,table7[],7, 0),"-")</f>
        <v>-</v>
      </c>
      <c r="K26" s="122" t="str">
        <f>IFERROR(VLOOKUP($B26,table8[],7, 0),"-")</f>
        <v>-</v>
      </c>
      <c r="L26" s="122" t="str">
        <f>IFERROR(VLOOKUP($B26,table9[],15, 0),"-")</f>
        <v>-</v>
      </c>
      <c r="M26" s="122" t="str">
        <f>IFERROR(VLOOKUP($B26,table10[],7, 0),"-")</f>
        <v>-</v>
      </c>
      <c r="N26" s="30">
        <f>SUM(D26:M26)</f>
        <v>49</v>
      </c>
      <c r="O26" s="30"/>
      <c r="P26" s="6"/>
      <c r="Q26" s="6"/>
      <c r="R26" s="6"/>
    </row>
    <row r="27" spans="1:18" ht="15" x14ac:dyDescent="0.2">
      <c r="A27" s="56">
        <v>24</v>
      </c>
      <c r="B27" s="107" t="s">
        <v>241</v>
      </c>
      <c r="C27" s="29">
        <f>IFERROR(VLOOKUP(B27,Table16[],12,FALSE),0)</f>
        <v>3.05</v>
      </c>
      <c r="D27" s="122">
        <f>IFERROR(VLOOKUP($B27,table1[],7, 0),"-")</f>
        <v>10</v>
      </c>
      <c r="E27" s="122">
        <f>IFERROR(VLOOKUP($B27,table2[],7, 0),"-")</f>
        <v>8</v>
      </c>
      <c r="F27" s="122">
        <f>IFERROR(VLOOKUP($B27,table3[],7, 0),"-")</f>
        <v>27</v>
      </c>
      <c r="G27" s="122" t="str">
        <f>IFERROR(VLOOKUP($B27,table4[],7, 0),"-")</f>
        <v>-</v>
      </c>
      <c r="H27" s="122">
        <f>IFERROR(VLOOKUP($B27,table5[],7, 0),"-")</f>
        <v>2</v>
      </c>
      <c r="I27" s="122" t="str">
        <f>IFERROR(VLOOKUP($B27,table6[],7, 0),"-")</f>
        <v>-</v>
      </c>
      <c r="J27" s="122" t="str">
        <f>IFERROR(VLOOKUP($B27,table7[],7, 0),"-")</f>
        <v>-</v>
      </c>
      <c r="K27" s="122" t="str">
        <f>IFERROR(VLOOKUP($B27,table8[],7, 0),"-")</f>
        <v>-</v>
      </c>
      <c r="L27" s="122" t="str">
        <f>IFERROR(VLOOKUP($B27,table9[],15, 0),"-")</f>
        <v>-</v>
      </c>
      <c r="M27" s="122" t="str">
        <f>IFERROR(VLOOKUP($B27,table10[],7, 0),"-")</f>
        <v>-</v>
      </c>
      <c r="N27" s="30">
        <f>SUM(D27:M27)</f>
        <v>47</v>
      </c>
      <c r="O27" s="14"/>
    </row>
    <row r="28" spans="1:18" ht="15" x14ac:dyDescent="0.2">
      <c r="A28" s="56">
        <v>25</v>
      </c>
      <c r="B28" s="107" t="s">
        <v>31</v>
      </c>
      <c r="C28" s="29">
        <f>IFERROR(VLOOKUP(B28,Table16[],12,FALSE),0)</f>
        <v>3.15</v>
      </c>
      <c r="D28" s="122">
        <f>IFERROR(VLOOKUP($B28,table1[],7, 0),"-")</f>
        <v>8</v>
      </c>
      <c r="E28" s="122">
        <f>IFERROR(VLOOKUP($B28,table2[],7, 0),"-")</f>
        <v>9</v>
      </c>
      <c r="F28" s="122">
        <f>IFERROR(VLOOKUP($B28,table3[],7, 0),"-")</f>
        <v>7</v>
      </c>
      <c r="G28" s="122">
        <f>IFERROR(VLOOKUP($B28,table4[],7, 0),"-")</f>
        <v>20</v>
      </c>
      <c r="H28" s="122">
        <f>IFERROR(VLOOKUP($B28,table5[],7, 0),"-")</f>
        <v>2</v>
      </c>
      <c r="I28" s="122" t="str">
        <f>IFERROR(VLOOKUP($B28,table6[],7, 0),"-")</f>
        <v>-</v>
      </c>
      <c r="J28" s="122" t="str">
        <f>IFERROR(VLOOKUP($B28,table7[],7, 0),"-")</f>
        <v>-</v>
      </c>
      <c r="K28" s="122" t="str">
        <f>IFERROR(VLOOKUP($B28,table8[],7, 0),"-")</f>
        <v>-</v>
      </c>
      <c r="L28" s="122" t="str">
        <f>IFERROR(VLOOKUP($B28,table9[],15, 0),"-")</f>
        <v>-</v>
      </c>
      <c r="M28" s="122" t="str">
        <f>IFERROR(VLOOKUP($B28,table10[],7, 0),"-")</f>
        <v>-</v>
      </c>
      <c r="N28" s="30">
        <f>SUM(D28:M28)</f>
        <v>46</v>
      </c>
      <c r="O28" s="14"/>
    </row>
    <row r="29" spans="1:18" s="25" customFormat="1" ht="15" x14ac:dyDescent="0.2">
      <c r="A29" s="56">
        <v>26</v>
      </c>
      <c r="B29" s="107" t="s">
        <v>191</v>
      </c>
      <c r="C29" s="29">
        <f>IFERROR(VLOOKUP(B29,Table16[],12,FALSE),0)</f>
        <v>3.98</v>
      </c>
      <c r="D29" s="122">
        <f>IFERROR(VLOOKUP($B29,table1[],7, 0),"-")</f>
        <v>26</v>
      </c>
      <c r="E29" s="122">
        <f>IFERROR(VLOOKUP($B29,table2[],7, 0),"-")</f>
        <v>13</v>
      </c>
      <c r="F29" s="122" t="str">
        <f>IFERROR(VLOOKUP($B29,table3[],7, 0),"-")</f>
        <v>-</v>
      </c>
      <c r="G29" s="122" t="str">
        <f>IFERROR(VLOOKUP($B29,table4[],7, 0),"-")</f>
        <v>-</v>
      </c>
      <c r="H29" s="122">
        <f>IFERROR(VLOOKUP($B29,table5[],7, 0),"-")</f>
        <v>2</v>
      </c>
      <c r="I29" s="122" t="str">
        <f>IFERROR(VLOOKUP($B29,table6[],7, 0),"-")</f>
        <v>-</v>
      </c>
      <c r="J29" s="122" t="str">
        <f>IFERROR(VLOOKUP($B29,table7[],7, 0),"-")</f>
        <v>-</v>
      </c>
      <c r="K29" s="122" t="str">
        <f>IFERROR(VLOOKUP($B29,table8[],7, 0),"-")</f>
        <v>-</v>
      </c>
      <c r="L29" s="122" t="str">
        <f>IFERROR(VLOOKUP($B29,table9[],15, 0),"-")</f>
        <v>-</v>
      </c>
      <c r="M29" s="122" t="str">
        <f>IFERROR(VLOOKUP($B29,table10[],7, 0),"-")</f>
        <v>-</v>
      </c>
      <c r="N29" s="30">
        <f>SUM(D29:M29)</f>
        <v>41</v>
      </c>
      <c r="O29" s="30"/>
      <c r="P29" s="26"/>
      <c r="Q29" s="26"/>
      <c r="R29" s="26"/>
    </row>
    <row r="30" spans="1:18" ht="15" x14ac:dyDescent="0.2">
      <c r="A30" s="56">
        <v>27</v>
      </c>
      <c r="B30" s="107" t="s">
        <v>62</v>
      </c>
      <c r="C30" s="29">
        <f>IFERROR(VLOOKUP(B30,Table16[],12,FALSE),0)</f>
        <v>2.56</v>
      </c>
      <c r="D30" s="122">
        <f>IFERROR(VLOOKUP($B30,table1[],7, 0),"-")</f>
        <v>2</v>
      </c>
      <c r="E30" s="122">
        <f>IFERROR(VLOOKUP($B30,table2[],7, 0),"-")</f>
        <v>15</v>
      </c>
      <c r="F30" s="122">
        <f>IFERROR(VLOOKUP($B30,table3[],7, 0),"-")</f>
        <v>11</v>
      </c>
      <c r="G30" s="122">
        <f>IFERROR(VLOOKUP($B30,table4[],7, 0),"-")</f>
        <v>12</v>
      </c>
      <c r="H30" s="122" t="str">
        <f>IFERROR(VLOOKUP($B30,table5[],7, 0),"-")</f>
        <v>-</v>
      </c>
      <c r="I30" s="122" t="str">
        <f>IFERROR(VLOOKUP($B30,table6[],7, 0),"-")</f>
        <v>-</v>
      </c>
      <c r="J30" s="122" t="str">
        <f>IFERROR(VLOOKUP($B30,table7[],7, 0),"-")</f>
        <v>-</v>
      </c>
      <c r="K30" s="122" t="str">
        <f>IFERROR(VLOOKUP($B30,table8[],7, 0),"-")</f>
        <v>-</v>
      </c>
      <c r="L30" s="122" t="str">
        <f>IFERROR(VLOOKUP($B30,table9[],15, 0),"-")</f>
        <v>-</v>
      </c>
      <c r="M30" s="122" t="str">
        <f>IFERROR(VLOOKUP($B30,table10[],7, 0),"-")</f>
        <v>-</v>
      </c>
      <c r="N30" s="30">
        <f>SUM(D30:M30)</f>
        <v>40</v>
      </c>
      <c r="O30" s="29"/>
      <c r="P30" s="6"/>
      <c r="Q30" s="6"/>
      <c r="R30" s="6"/>
    </row>
    <row r="31" spans="1:18" ht="15" x14ac:dyDescent="0.2">
      <c r="A31" s="56">
        <v>28</v>
      </c>
      <c r="B31" s="107" t="s">
        <v>104</v>
      </c>
      <c r="C31" s="29">
        <f>IFERROR(VLOOKUP(B31,Table16[],12,FALSE),0)</f>
        <v>2.85</v>
      </c>
      <c r="D31" s="122">
        <f>IFERROR(VLOOKUP($B31,table1[],7, 0),"-")</f>
        <v>14</v>
      </c>
      <c r="E31" s="122">
        <f>IFERROR(VLOOKUP($B31,table2[],7, 0),"-")</f>
        <v>2</v>
      </c>
      <c r="F31" s="122" t="str">
        <f>IFERROR(VLOOKUP($B31,table3[],7, 0),"-")</f>
        <v>2</v>
      </c>
      <c r="G31" s="122">
        <f>IFERROR(VLOOKUP($B31,table4[],7, 0),"-")</f>
        <v>19</v>
      </c>
      <c r="H31" s="122">
        <f>IFERROR(VLOOKUP($B31,table5[],7, 0),"-")</f>
        <v>2</v>
      </c>
      <c r="I31" s="122" t="str">
        <f>IFERROR(VLOOKUP($B31,table6[],7, 0),"-")</f>
        <v>-</v>
      </c>
      <c r="J31" s="122" t="str">
        <f>IFERROR(VLOOKUP($B31,table7[],7, 0),"-")</f>
        <v>-</v>
      </c>
      <c r="K31" s="122" t="str">
        <f>IFERROR(VLOOKUP($B31,table8[],7, 0),"-")</f>
        <v>-</v>
      </c>
      <c r="L31" s="122" t="str">
        <f>IFERROR(VLOOKUP($B31,table9[],15, 0),"-")</f>
        <v>-</v>
      </c>
      <c r="M31" s="122" t="str">
        <f>IFERROR(VLOOKUP($B31,table10[],7, 0),"-")</f>
        <v>-</v>
      </c>
      <c r="N31" s="30">
        <f>SUM(D31:M31)</f>
        <v>37</v>
      </c>
      <c r="O31" s="30"/>
      <c r="P31" s="6"/>
      <c r="Q31" s="6"/>
      <c r="R31" s="6"/>
    </row>
    <row r="32" spans="1:18" ht="15" x14ac:dyDescent="0.2">
      <c r="A32" s="56">
        <v>29</v>
      </c>
      <c r="B32" s="107" t="s">
        <v>103</v>
      </c>
      <c r="C32" s="29">
        <f>IFERROR(VLOOKUP(B32,Table16[],12,FALSE),0)</f>
        <v>2.5299999999999998</v>
      </c>
      <c r="D32" s="122">
        <f>IFERROR(VLOOKUP($B32,table1[],7, 0),"-")</f>
        <v>18</v>
      </c>
      <c r="E32" s="122" t="str">
        <f>IFERROR(VLOOKUP($B32,table2[],7, 0),"-")</f>
        <v>-</v>
      </c>
      <c r="F32" s="122" t="str">
        <f>IFERROR(VLOOKUP($B32,table3[],7, 0),"-")</f>
        <v>-</v>
      </c>
      <c r="G32" s="122" t="str">
        <f>IFERROR(VLOOKUP($B32,table4[],7, 0),"-")</f>
        <v>-</v>
      </c>
      <c r="H32" s="122">
        <f>IFERROR(VLOOKUP($B32,table5[],7, 0),"-")</f>
        <v>18</v>
      </c>
      <c r="I32" s="122" t="str">
        <f>IFERROR(VLOOKUP($B32,table6[],7, 0),"-")</f>
        <v>-</v>
      </c>
      <c r="J32" s="122" t="str">
        <f>IFERROR(VLOOKUP($B32,table7[],7, 0),"-")</f>
        <v>-</v>
      </c>
      <c r="K32" s="122" t="str">
        <f>IFERROR(VLOOKUP($B32,table8[],7, 0),"-")</f>
        <v>-</v>
      </c>
      <c r="L32" s="122" t="str">
        <f>IFERROR(VLOOKUP($B32,table9[],15, 0),"-")</f>
        <v>-</v>
      </c>
      <c r="M32" s="122" t="str">
        <f>IFERROR(VLOOKUP($B32,table10[],7, 0),"-")</f>
        <v>-</v>
      </c>
      <c r="N32" s="30">
        <f>SUM(D32:M32)</f>
        <v>36</v>
      </c>
      <c r="O32" s="14"/>
    </row>
    <row r="33" spans="1:18" ht="15" x14ac:dyDescent="0.2">
      <c r="A33" s="56">
        <v>30</v>
      </c>
      <c r="B33" s="107" t="s">
        <v>177</v>
      </c>
      <c r="C33" s="29">
        <f>IFERROR(VLOOKUP(B33,Table16[],12,FALSE),0)</f>
        <v>3.82</v>
      </c>
      <c r="D33" s="122">
        <f>IFERROR(VLOOKUP($B33,table1[],7, 0),"-")</f>
        <v>15</v>
      </c>
      <c r="E33" s="122" t="str">
        <f>IFERROR(VLOOKUP($B33,table2[],7, 0),"-")</f>
        <v>-</v>
      </c>
      <c r="F33" s="122">
        <f>IFERROR(VLOOKUP($B33,table3[],7, 0),"-")</f>
        <v>9</v>
      </c>
      <c r="G33" s="122">
        <f>IFERROR(VLOOKUP($B33,table4[],7, 0),"-")</f>
        <v>9</v>
      </c>
      <c r="H33" s="122">
        <f>IFERROR(VLOOKUP($B33,table5[],7, 0),"-")</f>
        <v>2</v>
      </c>
      <c r="I33" s="122" t="str">
        <f>IFERROR(VLOOKUP($B33,table6[],7, 0),"-")</f>
        <v>-</v>
      </c>
      <c r="J33" s="122" t="str">
        <f>IFERROR(VLOOKUP($B33,table7[],7, 0),"-")</f>
        <v>-</v>
      </c>
      <c r="K33" s="122" t="str">
        <f>IFERROR(VLOOKUP($B33,table8[],7, 0),"-")</f>
        <v>-</v>
      </c>
      <c r="L33" s="122" t="str">
        <f>IFERROR(VLOOKUP($B33,table9[],15, 0),"-")</f>
        <v>-</v>
      </c>
      <c r="M33" s="122" t="str">
        <f>IFERROR(VLOOKUP($B33,table10[],7, 0),"-")</f>
        <v>-</v>
      </c>
      <c r="N33" s="30">
        <f>SUM(D33:M33)</f>
        <v>35</v>
      </c>
      <c r="O33" s="14"/>
    </row>
    <row r="34" spans="1:18" ht="15" x14ac:dyDescent="0.2">
      <c r="A34" s="56">
        <v>31</v>
      </c>
      <c r="B34" s="56" t="s">
        <v>122</v>
      </c>
      <c r="C34" s="29">
        <f>IFERROR(VLOOKUP(B34,Table16[],12,FALSE),0)</f>
        <v>3.02</v>
      </c>
      <c r="D34" s="122" t="str">
        <f>IFERROR(VLOOKUP($B34,table1[],7, 0),"-")</f>
        <v>-</v>
      </c>
      <c r="E34" s="122">
        <f>IFERROR(VLOOKUP($B34,table2[],7, 0),"-")</f>
        <v>7</v>
      </c>
      <c r="F34" s="122">
        <f>IFERROR(VLOOKUP($B34,table3[],7, 0),"-")</f>
        <v>21</v>
      </c>
      <c r="G34" s="122" t="str">
        <f>IFERROR(VLOOKUP($B34,table4[],7, 0),"-")</f>
        <v>-</v>
      </c>
      <c r="H34" s="122">
        <f>IFERROR(VLOOKUP($B34,table5[],7, 0),"-")</f>
        <v>2</v>
      </c>
      <c r="I34" s="122" t="str">
        <f>IFERROR(VLOOKUP($B34,table6[],7, 0),"-")</f>
        <v>-</v>
      </c>
      <c r="J34" s="122" t="str">
        <f>IFERROR(VLOOKUP($B34,table7[],7, 0),"-")</f>
        <v>-</v>
      </c>
      <c r="K34" s="122" t="str">
        <f>IFERROR(VLOOKUP($B34,table8[],7, 0),"-")</f>
        <v>-</v>
      </c>
      <c r="L34" s="122" t="str">
        <f>IFERROR(VLOOKUP($B34,table9[],15, 0),"-")</f>
        <v>-</v>
      </c>
      <c r="M34" s="122" t="str">
        <f>IFERROR(VLOOKUP($B34,table10[],7, 0),"-")</f>
        <v>-</v>
      </c>
      <c r="N34" s="30">
        <f>SUM(D34:M34)</f>
        <v>30</v>
      </c>
      <c r="O34" s="29"/>
      <c r="P34" s="6"/>
      <c r="Q34" s="6"/>
      <c r="R34" s="6"/>
    </row>
    <row r="35" spans="1:18" ht="15" x14ac:dyDescent="0.2">
      <c r="A35" s="56">
        <v>32</v>
      </c>
      <c r="B35" s="108" t="s">
        <v>236</v>
      </c>
      <c r="C35" s="29">
        <f>IFERROR(VLOOKUP(B35,Table16[],12,FALSE),0)</f>
        <v>2.72</v>
      </c>
      <c r="D35" s="122">
        <f>IFERROR(VLOOKUP($B35,table1[],7, 0),"-")</f>
        <v>25</v>
      </c>
      <c r="E35" s="122" t="str">
        <f>IFERROR(VLOOKUP($B35,table2[],7, 0),"-")</f>
        <v>-</v>
      </c>
      <c r="F35" s="122" t="str">
        <f>IFERROR(VLOOKUP($B35,table3[],7, 0),"-")</f>
        <v>-</v>
      </c>
      <c r="G35" s="122" t="str">
        <f>IFERROR(VLOOKUP($B35,table4[],7, 0),"-")</f>
        <v>-</v>
      </c>
      <c r="H35" s="122" t="str">
        <f>IFERROR(VLOOKUP($B35,table5[],7, 0),"-")</f>
        <v>-</v>
      </c>
      <c r="I35" s="122" t="str">
        <f>IFERROR(VLOOKUP($B35,table6[],7, 0),"-")</f>
        <v>-</v>
      </c>
      <c r="J35" s="122" t="str">
        <f>IFERROR(VLOOKUP($B35,table7[],7, 0),"-")</f>
        <v>-</v>
      </c>
      <c r="K35" s="122" t="str">
        <f>IFERROR(VLOOKUP($B35,table8[],7, 0),"-")</f>
        <v>-</v>
      </c>
      <c r="L35" s="122" t="str">
        <f>IFERROR(VLOOKUP($B35,table9[],15, 0),"-")</f>
        <v>-</v>
      </c>
      <c r="M35" s="122" t="str">
        <f>IFERROR(VLOOKUP($B35,table10[],7, 0),"-")</f>
        <v>-</v>
      </c>
      <c r="N35" s="30">
        <f>SUM(D35:M35)</f>
        <v>25</v>
      </c>
      <c r="O35" s="30"/>
      <c r="P35" s="6"/>
      <c r="Q35" s="6"/>
      <c r="R35" s="6"/>
    </row>
    <row r="36" spans="1:18" ht="15" x14ac:dyDescent="0.2">
      <c r="A36" s="56">
        <v>33</v>
      </c>
      <c r="B36" s="108" t="s">
        <v>80</v>
      </c>
      <c r="C36" s="29">
        <f>IFERROR(VLOOKUP(B36,Table16[],12,FALSE),0)</f>
        <v>2.25</v>
      </c>
      <c r="D36" s="122">
        <f>IFERROR(VLOOKUP($B36,table1[],7, 0),"-")</f>
        <v>11</v>
      </c>
      <c r="E36" s="122">
        <f>IFERROR(VLOOKUP($B36,table2[],7, 0),"-")</f>
        <v>2</v>
      </c>
      <c r="F36" s="122" t="str">
        <f>IFERROR(VLOOKUP($B36,table3[],7, 0),"-")</f>
        <v>-</v>
      </c>
      <c r="G36" s="122" t="str">
        <f>IFERROR(VLOOKUP($B36,table4[],7, 0),"-")</f>
        <v>-</v>
      </c>
      <c r="H36" s="122" t="str">
        <f>IFERROR(VLOOKUP($B36,table5[],7, 0),"-")</f>
        <v>-</v>
      </c>
      <c r="I36" s="122" t="str">
        <f>IFERROR(VLOOKUP($B36,table6[],7, 0),"-")</f>
        <v>-</v>
      </c>
      <c r="J36" s="122" t="str">
        <f>IFERROR(VLOOKUP($B36,table7[],7, 0),"-")</f>
        <v>-</v>
      </c>
      <c r="K36" s="122" t="str">
        <f>IFERROR(VLOOKUP($B36,table8[],7, 0),"-")</f>
        <v>-</v>
      </c>
      <c r="L36" s="122" t="str">
        <f>IFERROR(VLOOKUP($B36,table9[],15, 0),"-")</f>
        <v>-</v>
      </c>
      <c r="M36" s="122" t="str">
        <f>IFERROR(VLOOKUP($B36,table10[],7, 0),"-")</f>
        <v>-</v>
      </c>
      <c r="N36" s="30">
        <f>SUM(D36:M36)</f>
        <v>13</v>
      </c>
      <c r="O36" s="14"/>
    </row>
    <row r="37" spans="1:18" ht="15" x14ac:dyDescent="0.2">
      <c r="A37" s="56">
        <v>34</v>
      </c>
      <c r="B37" s="108" t="s">
        <v>270</v>
      </c>
      <c r="C37" s="29">
        <f>IFERROR(VLOOKUP(B37,Table16[],12,FALSE),0)</f>
        <v>2.66</v>
      </c>
      <c r="D37" s="122">
        <f>IFERROR(VLOOKUP($B37,table1[],7, 0),"-")</f>
        <v>9</v>
      </c>
      <c r="E37" s="122" t="str">
        <f>IFERROR(VLOOKUP($B37,table2[],7, 0),"-")</f>
        <v>-</v>
      </c>
      <c r="F37" s="122" t="str">
        <f>IFERROR(VLOOKUP($B37,table3[],7, 0),"-")</f>
        <v>-</v>
      </c>
      <c r="G37" s="122" t="str">
        <f>IFERROR(VLOOKUP($B37,table4[],7, 0),"-")</f>
        <v>-</v>
      </c>
      <c r="H37" s="122" t="str">
        <f>IFERROR(VLOOKUP($B37,table5[],7, 0),"-")</f>
        <v>-</v>
      </c>
      <c r="I37" s="122" t="str">
        <f>IFERROR(VLOOKUP($B37,table6[],7, 0),"-")</f>
        <v>-</v>
      </c>
      <c r="J37" s="122" t="str">
        <f>IFERROR(VLOOKUP($B37,table7[],7, 0),"-")</f>
        <v>-</v>
      </c>
      <c r="K37" s="122" t="str">
        <f>IFERROR(VLOOKUP($B37,table8[],7, 0),"-")</f>
        <v>-</v>
      </c>
      <c r="L37" s="122" t="str">
        <f>IFERROR(VLOOKUP($B37,table9[],15, 0),"-")</f>
        <v>-</v>
      </c>
      <c r="M37" s="122" t="str">
        <f>IFERROR(VLOOKUP($B37,table10[],7, 0),"-")</f>
        <v>-</v>
      </c>
      <c r="N37" s="30">
        <f>SUM(D37:M37)</f>
        <v>9</v>
      </c>
      <c r="O37" s="29"/>
      <c r="P37" s="6"/>
      <c r="Q37" s="6"/>
      <c r="R37" s="6"/>
    </row>
    <row r="38" spans="1:18" s="25" customFormat="1" ht="15" x14ac:dyDescent="0.2">
      <c r="A38" s="56">
        <v>35</v>
      </c>
      <c r="B38" s="108" t="s">
        <v>231</v>
      </c>
      <c r="C38" s="29">
        <f>IFERROR(VLOOKUP(B38,Table16[],12,FALSE),0)</f>
        <v>1.97</v>
      </c>
      <c r="D38" s="122">
        <f>IFERROR(VLOOKUP($B38,table1[],7, 0),"-")</f>
        <v>6</v>
      </c>
      <c r="E38" s="122" t="str">
        <f>IFERROR(VLOOKUP($B38,table2[],7, 0),"-")</f>
        <v>-</v>
      </c>
      <c r="F38" s="122" t="str">
        <f>IFERROR(VLOOKUP($B38,table3[],7, 0),"-")</f>
        <v>-</v>
      </c>
      <c r="G38" s="122" t="str">
        <f>IFERROR(VLOOKUP($B38,table4[],7, 0),"-")</f>
        <v>-</v>
      </c>
      <c r="H38" s="122" t="str">
        <f>IFERROR(VLOOKUP($B38,table5[],7, 0),"-")</f>
        <v>-</v>
      </c>
      <c r="I38" s="122" t="str">
        <f>IFERROR(VLOOKUP($B38,table6[],7, 0),"-")</f>
        <v>-</v>
      </c>
      <c r="J38" s="122" t="str">
        <f>IFERROR(VLOOKUP($B38,table7[],7, 0),"-")</f>
        <v>-</v>
      </c>
      <c r="K38" s="122" t="str">
        <f>IFERROR(VLOOKUP($B38,table8[],7, 0),"-")</f>
        <v>-</v>
      </c>
      <c r="L38" s="122" t="str">
        <f>IFERROR(VLOOKUP($B38,table9[],15, 0),"-")</f>
        <v>-</v>
      </c>
      <c r="M38" s="122" t="str">
        <f>IFERROR(VLOOKUP($B38,table10[],7, 0),"-")</f>
        <v>-</v>
      </c>
      <c r="N38" s="30">
        <f>SUM(D38:M38)</f>
        <v>6</v>
      </c>
      <c r="O38" s="29"/>
      <c r="P38" s="26"/>
      <c r="Q38" s="26"/>
      <c r="R38" s="26"/>
    </row>
    <row r="39" spans="1:18" s="25" customFormat="1" ht="15" x14ac:dyDescent="0.2">
      <c r="A39" s="56">
        <v>36</v>
      </c>
      <c r="B39" s="108" t="s">
        <v>36</v>
      </c>
      <c r="C39" s="29">
        <f>IFERROR(VLOOKUP(B39,Table16[],12,FALSE),0)</f>
        <v>1.98</v>
      </c>
      <c r="D39" s="122">
        <f>IFERROR(VLOOKUP($B39,table1[],7, 0),"-")</f>
        <v>5</v>
      </c>
      <c r="E39" s="122" t="str">
        <f>IFERROR(VLOOKUP($B39,table2[],7, 0),"-")</f>
        <v>-</v>
      </c>
      <c r="F39" s="122" t="str">
        <f>IFERROR(VLOOKUP($B39,table3[],7, 0),"-")</f>
        <v>-</v>
      </c>
      <c r="G39" s="122" t="str">
        <f>IFERROR(VLOOKUP($B39,table4[],7, 0),"-")</f>
        <v>-</v>
      </c>
      <c r="H39" s="122" t="str">
        <f>IFERROR(VLOOKUP($B39,table5[],7, 0),"-")</f>
        <v>-</v>
      </c>
      <c r="I39" s="122" t="str">
        <f>IFERROR(VLOOKUP($B39,table6[],7, 0),"-")</f>
        <v>-</v>
      </c>
      <c r="J39" s="122" t="str">
        <f>IFERROR(VLOOKUP($B39,table7[],7, 0),"-")</f>
        <v>-</v>
      </c>
      <c r="K39" s="122" t="str">
        <f>IFERROR(VLOOKUP($B39,table8[],7, 0),"-")</f>
        <v>-</v>
      </c>
      <c r="L39" s="122" t="str">
        <f>IFERROR(VLOOKUP($B39,table9[],15, 0),"-")</f>
        <v>-</v>
      </c>
      <c r="M39" s="122" t="str">
        <f>IFERROR(VLOOKUP($B39,table10[],7, 0),"-")</f>
        <v>-</v>
      </c>
      <c r="N39" s="30">
        <f>SUM(D39:M39)</f>
        <v>5</v>
      </c>
      <c r="O39" s="30"/>
      <c r="P39" s="26"/>
      <c r="Q39" s="26"/>
      <c r="R39" s="26"/>
    </row>
    <row r="40" spans="1:18" s="25" customFormat="1" ht="15" x14ac:dyDescent="0.2">
      <c r="A40" s="56">
        <v>37</v>
      </c>
      <c r="B40" s="56" t="s">
        <v>289</v>
      </c>
      <c r="C40" s="29">
        <f>IFERROR(VLOOKUP(B40,Table16[],12,FALSE),0)</f>
        <v>2.82</v>
      </c>
      <c r="D40" s="122" t="str">
        <f>IFERROR(VLOOKUP($B40,table1[],7, 0),"-")</f>
        <v>-</v>
      </c>
      <c r="E40" s="122" t="str">
        <f>IFERROR(VLOOKUP($B40,table2[],7, 0),"-")</f>
        <v>-</v>
      </c>
      <c r="F40" s="122" t="str">
        <f>IFERROR(VLOOKUP($B40,table3[],7, 0),"-")</f>
        <v>-</v>
      </c>
      <c r="G40" s="122" t="str">
        <f>IFERROR(VLOOKUP($B40,table4[],7, 0),"-")</f>
        <v>TPF</v>
      </c>
      <c r="H40" s="122" t="str">
        <f>IFERROR(VLOOKUP($B40,table5[],7, 0),"-")</f>
        <v>-</v>
      </c>
      <c r="I40" s="122" t="str">
        <f>IFERROR(VLOOKUP($B40,table6[],7, 0),"-")</f>
        <v>-</v>
      </c>
      <c r="J40" s="122" t="str">
        <f>IFERROR(VLOOKUP($B40,table7[],7, 0),"-")</f>
        <v>-</v>
      </c>
      <c r="K40" s="122" t="str">
        <f>IFERROR(VLOOKUP($B40,table8[],7, 0),"-")</f>
        <v>-</v>
      </c>
      <c r="L40" s="122" t="str">
        <f>IFERROR(VLOOKUP($B40,table9[],15, 0),"-")</f>
        <v>-</v>
      </c>
      <c r="M40" s="122" t="str">
        <f>IFERROR(VLOOKUP($B40,table10[],7, 0),"-")</f>
        <v>-</v>
      </c>
      <c r="N40" s="30">
        <f>SUM(D40:M40)</f>
        <v>0</v>
      </c>
      <c r="O40" s="30"/>
      <c r="P40" s="26"/>
      <c r="Q40" s="26"/>
      <c r="R40" s="26"/>
    </row>
    <row r="41" spans="1:18" s="25" customFormat="1" ht="15" x14ac:dyDescent="0.2">
      <c r="A41" s="56">
        <v>38</v>
      </c>
      <c r="B41" s="149" t="s">
        <v>78</v>
      </c>
      <c r="C41" s="29">
        <f>IFERROR(VLOOKUP(B41,Table16[],12,FALSE),0)</f>
        <v>0</v>
      </c>
      <c r="D41" s="122" t="str">
        <f>IFERROR(VLOOKUP($B41,table1[],7, 0),"-")</f>
        <v>-</v>
      </c>
      <c r="E41" s="122" t="str">
        <f>IFERROR(VLOOKUP($B41,table2[],7, 0),"-")</f>
        <v>-</v>
      </c>
      <c r="F41" s="122" t="str">
        <f>IFERROR(VLOOKUP($B41,table3[],7, 0),"-")</f>
        <v>-</v>
      </c>
      <c r="G41" s="122" t="str">
        <f>IFERROR(VLOOKUP($B41,table4[],7, 0),"-")</f>
        <v>TPF</v>
      </c>
      <c r="H41" s="122" t="str">
        <f>IFERROR(VLOOKUP($B41,table5[],7, 0),"-")</f>
        <v>-</v>
      </c>
      <c r="I41" s="122" t="str">
        <f>IFERROR(VLOOKUP($B41,table6[],7, 0),"-")</f>
        <v>-</v>
      </c>
      <c r="J41" s="122" t="str">
        <f>IFERROR(VLOOKUP($B41,table7[],7, 0),"-")</f>
        <v>-</v>
      </c>
      <c r="K41" s="122" t="str">
        <f>IFERROR(VLOOKUP($B41,table8[],7, 0),"-")</f>
        <v>-</v>
      </c>
      <c r="L41" s="122" t="str">
        <f>IFERROR(VLOOKUP($B41,table9[],15, 0),"-")</f>
        <v>-</v>
      </c>
      <c r="M41" s="122" t="str">
        <f>IFERROR(VLOOKUP($B41,table10[],7, 0),"-")</f>
        <v>-</v>
      </c>
      <c r="N41" s="131">
        <f>SUM(D41:M41)</f>
        <v>0</v>
      </c>
      <c r="O41" s="14"/>
    </row>
    <row r="42" spans="1:18" s="25" customFormat="1" ht="15" x14ac:dyDescent="0.2">
      <c r="A42" s="56">
        <v>39</v>
      </c>
      <c r="B42" s="30" t="s">
        <v>87</v>
      </c>
      <c r="C42" s="29">
        <f>IFERROR(VLOOKUP(B42,Table16[],12,FALSE),0)</f>
        <v>0</v>
      </c>
      <c r="D42" s="122" t="str">
        <f>IFERROR(VLOOKUP($B42,table1[],7, 0),"-")</f>
        <v>-</v>
      </c>
      <c r="E42" s="122" t="str">
        <f>IFERROR(VLOOKUP($B42,table2[],7, 0),"-")</f>
        <v>-</v>
      </c>
      <c r="F42" s="122" t="str">
        <f>IFERROR(VLOOKUP($B42,table3[],7, 0),"-")</f>
        <v>-</v>
      </c>
      <c r="G42" s="122" t="str">
        <f>IFERROR(VLOOKUP($B42,table4[],7, 0),"-")</f>
        <v>TPF</v>
      </c>
      <c r="H42" s="122" t="str">
        <f>IFERROR(VLOOKUP($B42,table5[],7, 0),"-")</f>
        <v>-</v>
      </c>
      <c r="I42" s="122" t="str">
        <f>IFERROR(VLOOKUP($B42,table6[],7, 0),"-")</f>
        <v>-</v>
      </c>
      <c r="J42" s="122" t="str">
        <f>IFERROR(VLOOKUP($B42,table7[],7, 0),"-")</f>
        <v>-</v>
      </c>
      <c r="K42" s="122" t="str">
        <f>IFERROR(VLOOKUP($B42,table8[],7, 0),"-")</f>
        <v>-</v>
      </c>
      <c r="L42" s="122" t="str">
        <f>IFERROR(VLOOKUP($B42,table9[],15, 0),"-")</f>
        <v>-</v>
      </c>
      <c r="M42" s="122" t="str">
        <f>IFERROR(VLOOKUP($B42,table10[],7, 0),"-")</f>
        <v>-</v>
      </c>
      <c r="N42" s="30">
        <f>SUM(D42:M42)</f>
        <v>0</v>
      </c>
      <c r="O42" s="14"/>
    </row>
    <row r="43" spans="1:18" s="25" customFormat="1" ht="15" x14ac:dyDescent="0.2">
      <c r="A43" s="56">
        <v>40</v>
      </c>
      <c r="B43" s="56"/>
      <c r="C43" s="29">
        <f>IFERROR(VLOOKUP(B43,Table16[],12,FALSE),0)</f>
        <v>0</v>
      </c>
      <c r="D43" s="122" t="str">
        <f>IFERROR(VLOOKUP($B43,table1[],7, 0),"-")</f>
        <v>-</v>
      </c>
      <c r="E43" s="122" t="str">
        <f>IFERROR(VLOOKUP($B43,table2[],7, 0),"-")</f>
        <v>-</v>
      </c>
      <c r="F43" s="122" t="str">
        <f>IFERROR(VLOOKUP($B43,table3[],7, 0),"-")</f>
        <v>-</v>
      </c>
      <c r="G43" s="122" t="str">
        <f>IFERROR(VLOOKUP($B43,table4[],7, 0),"-")</f>
        <v>-</v>
      </c>
      <c r="H43" s="122" t="str">
        <f>IFERROR(VLOOKUP($B43,table5[],7, 0),"-")</f>
        <v>-</v>
      </c>
      <c r="I43" s="122" t="str">
        <f>IFERROR(VLOOKUP($B43,table6[],7, 0),"-")</f>
        <v>-</v>
      </c>
      <c r="J43" s="122" t="str">
        <f>IFERROR(VLOOKUP($B43,table7[],7, 0),"-")</f>
        <v>-</v>
      </c>
      <c r="K43" s="122" t="str">
        <f>IFERROR(VLOOKUP($B43,table8[],7, 0),"-")</f>
        <v>-</v>
      </c>
      <c r="L43" s="122" t="str">
        <f>IFERROR(VLOOKUP($B43,table9[],15, 0),"-")</f>
        <v>-</v>
      </c>
      <c r="M43" s="122" t="str">
        <f>IFERROR(VLOOKUP($B43,table10[],7, 0),"-")</f>
        <v>-</v>
      </c>
      <c r="N43" s="30">
        <f>SUM(D43:M43)</f>
        <v>0</v>
      </c>
      <c r="O43" s="14"/>
    </row>
    <row r="44" spans="1:18" s="25" customFormat="1" ht="15" hidden="1" x14ac:dyDescent="0.2">
      <c r="A44" s="56">
        <v>41</v>
      </c>
      <c r="B44" s="56"/>
      <c r="C44" s="29">
        <f>IFERROR(VLOOKUP(B44,Table16[],12,FALSE),0)</f>
        <v>0</v>
      </c>
      <c r="D44" s="122" t="str">
        <f>IFERROR(VLOOKUP($B44,table1[],7, 0),"-")</f>
        <v>-</v>
      </c>
      <c r="E44" s="122" t="str">
        <f>IFERROR(VLOOKUP($B44,table2[],7, 0),"-")</f>
        <v>-</v>
      </c>
      <c r="F44" s="122" t="str">
        <f>IFERROR(VLOOKUP($B44,table3[],7, 0),"-")</f>
        <v>-</v>
      </c>
      <c r="G44" s="122" t="str">
        <f>IFERROR(VLOOKUP($B44,table4[],7, 0),"-")</f>
        <v>-</v>
      </c>
      <c r="H44" s="122" t="str">
        <f>IFERROR(VLOOKUP($B44,table5[],7, 0),"-")</f>
        <v>-</v>
      </c>
      <c r="I44" s="122" t="str">
        <f>IFERROR(VLOOKUP($B44,table6[],7, 0),"-")</f>
        <v>-</v>
      </c>
      <c r="J44" s="122" t="str">
        <f>IFERROR(VLOOKUP($B44,table7[],7, 0),"-")</f>
        <v>-</v>
      </c>
      <c r="K44" s="122" t="str">
        <f>IFERROR(VLOOKUP($B44,table8[],7, 0),"-")</f>
        <v>-</v>
      </c>
      <c r="L44" s="122" t="str">
        <f>IFERROR(VLOOKUP($B44,table9[],15, 0),"-")</f>
        <v>-</v>
      </c>
      <c r="M44" s="122" t="str">
        <f>IFERROR(VLOOKUP($B44,table10[],7, 0),"-")</f>
        <v>-</v>
      </c>
      <c r="N44" s="30">
        <f t="shared" ref="N44:N67" si="0">SUM(D44:M44)</f>
        <v>0</v>
      </c>
      <c r="O44" s="14"/>
    </row>
    <row r="45" spans="1:18" s="25" customFormat="1" ht="15" hidden="1" x14ac:dyDescent="0.2">
      <c r="A45" s="56">
        <v>42</v>
      </c>
      <c r="B45" s="56"/>
      <c r="C45" s="29">
        <f>IFERROR(VLOOKUP(B45,Table16[],12,FALSE),0)</f>
        <v>0</v>
      </c>
      <c r="D45" s="122" t="str">
        <f>IFERROR(VLOOKUP($B45,table1[],7, 0),"-")</f>
        <v>-</v>
      </c>
      <c r="E45" s="122" t="str">
        <f>IFERROR(VLOOKUP($B45,table2[],7, 0),"-")</f>
        <v>-</v>
      </c>
      <c r="F45" s="122" t="str">
        <f>IFERROR(VLOOKUP($B45,table3[],7, 0),"-")</f>
        <v>-</v>
      </c>
      <c r="G45" s="122" t="str">
        <f>IFERROR(VLOOKUP($B45,table4[],7, 0),"-")</f>
        <v>-</v>
      </c>
      <c r="H45" s="122" t="str">
        <f>IFERROR(VLOOKUP($B45,table5[],7, 0),"-")</f>
        <v>-</v>
      </c>
      <c r="I45" s="122" t="str">
        <f>IFERROR(VLOOKUP($B45,table6[],7, 0),"-")</f>
        <v>-</v>
      </c>
      <c r="J45" s="122" t="str">
        <f>IFERROR(VLOOKUP($B45,table7[],7, 0),"-")</f>
        <v>-</v>
      </c>
      <c r="K45" s="122" t="str">
        <f>IFERROR(VLOOKUP($B45,table8[],7, 0),"-")</f>
        <v>-</v>
      </c>
      <c r="L45" s="122" t="str">
        <f>IFERROR(VLOOKUP($B45,table9[],15, 0),"-")</f>
        <v>-</v>
      </c>
      <c r="M45" s="122" t="str">
        <f>IFERROR(VLOOKUP($B45,table10[],7, 0),"-")</f>
        <v>-</v>
      </c>
      <c r="N45" s="30">
        <f t="shared" si="0"/>
        <v>0</v>
      </c>
      <c r="O45" s="14"/>
    </row>
    <row r="46" spans="1:18" s="25" customFormat="1" ht="15" hidden="1" x14ac:dyDescent="0.2">
      <c r="A46" s="56">
        <v>43</v>
      </c>
      <c r="B46" s="56"/>
      <c r="C46" s="29">
        <f>IFERROR(VLOOKUP(B46,Table16[],12,FALSE),0)</f>
        <v>0</v>
      </c>
      <c r="D46" s="122" t="str">
        <f>IFERROR(VLOOKUP($B46,table1[],7, 0),"-")</f>
        <v>-</v>
      </c>
      <c r="E46" s="122" t="str">
        <f>IFERROR(VLOOKUP($B46,table2[],7, 0),"-")</f>
        <v>-</v>
      </c>
      <c r="F46" s="122" t="str">
        <f>IFERROR(VLOOKUP($B46,table3[],7, 0),"-")</f>
        <v>-</v>
      </c>
      <c r="G46" s="122" t="str">
        <f>IFERROR(VLOOKUP($B46,table4[],7, 0),"-")</f>
        <v>-</v>
      </c>
      <c r="H46" s="122" t="str">
        <f>IFERROR(VLOOKUP($B46,table5[],7, 0),"-")</f>
        <v>-</v>
      </c>
      <c r="I46" s="122" t="str">
        <f>IFERROR(VLOOKUP($B46,table6[],7, 0),"-")</f>
        <v>-</v>
      </c>
      <c r="J46" s="122" t="str">
        <f>IFERROR(VLOOKUP($B46,table7[],7, 0),"-")</f>
        <v>-</v>
      </c>
      <c r="K46" s="122" t="str">
        <f>IFERROR(VLOOKUP($B46,table8[],7, 0),"-")</f>
        <v>-</v>
      </c>
      <c r="L46" s="122" t="str">
        <f>IFERROR(VLOOKUP($B46,table9[],15, 0),"-")</f>
        <v>-</v>
      </c>
      <c r="M46" s="122" t="str">
        <f>IFERROR(VLOOKUP($B46,table10[],7, 0),"-")</f>
        <v>-</v>
      </c>
      <c r="N46" s="30">
        <f t="shared" si="0"/>
        <v>0</v>
      </c>
      <c r="O46" s="14"/>
    </row>
    <row r="47" spans="1:18" s="25" customFormat="1" ht="15" hidden="1" x14ac:dyDescent="0.2">
      <c r="A47" s="56">
        <v>44</v>
      </c>
      <c r="B47" s="56"/>
      <c r="C47" s="29">
        <f>IFERROR(VLOOKUP(B47,Table16[],12,FALSE),0)</f>
        <v>0</v>
      </c>
      <c r="D47" s="122" t="str">
        <f>IFERROR(VLOOKUP($B47,table1[],7, 0),"-")</f>
        <v>-</v>
      </c>
      <c r="E47" s="122" t="str">
        <f>IFERROR(VLOOKUP($B47,table2[],7, 0),"-")</f>
        <v>-</v>
      </c>
      <c r="F47" s="122" t="str">
        <f>IFERROR(VLOOKUP($B47,table3[],7, 0),"-")</f>
        <v>-</v>
      </c>
      <c r="G47" s="122" t="str">
        <f>IFERROR(VLOOKUP($B47,table4[],7, 0),"-")</f>
        <v>-</v>
      </c>
      <c r="H47" s="122" t="str">
        <f>IFERROR(VLOOKUP($B47,table5[],7, 0),"-")</f>
        <v>-</v>
      </c>
      <c r="I47" s="122" t="str">
        <f>IFERROR(VLOOKUP($B47,table6[],7, 0),"-")</f>
        <v>-</v>
      </c>
      <c r="J47" s="122" t="str">
        <f>IFERROR(VLOOKUP($B47,table7[],7, 0),"-")</f>
        <v>-</v>
      </c>
      <c r="K47" s="122" t="str">
        <f>IFERROR(VLOOKUP($B47,table8[],7, 0),"-")</f>
        <v>-</v>
      </c>
      <c r="L47" s="122" t="str">
        <f>IFERROR(VLOOKUP($B47,table9[],15, 0),"-")</f>
        <v>-</v>
      </c>
      <c r="M47" s="122" t="str">
        <f>IFERROR(VLOOKUP($B47,table10[],7, 0),"-")</f>
        <v>-</v>
      </c>
      <c r="N47" s="30">
        <f t="shared" si="0"/>
        <v>0</v>
      </c>
      <c r="O47" s="14"/>
    </row>
    <row r="48" spans="1:18" s="25" customFormat="1" ht="15" hidden="1" x14ac:dyDescent="0.2">
      <c r="A48" s="56">
        <v>45</v>
      </c>
      <c r="B48" s="56"/>
      <c r="C48" s="29">
        <f>IFERROR(VLOOKUP(B48,Table16[],12,FALSE),0)</f>
        <v>0</v>
      </c>
      <c r="D48" s="122" t="str">
        <f>IFERROR(VLOOKUP($B48,table1[],7, 0),"-")</f>
        <v>-</v>
      </c>
      <c r="E48" s="122" t="str">
        <f>IFERROR(VLOOKUP($B48,table2[],7, 0),"-")</f>
        <v>-</v>
      </c>
      <c r="F48" s="122" t="str">
        <f>IFERROR(VLOOKUP($B48,table3[],7, 0),"-")</f>
        <v>-</v>
      </c>
      <c r="G48" s="122" t="str">
        <f>IFERROR(VLOOKUP($B48,table4[],7, 0),"-")</f>
        <v>-</v>
      </c>
      <c r="H48" s="122" t="str">
        <f>IFERROR(VLOOKUP($B48,table5[],7, 0),"-")</f>
        <v>-</v>
      </c>
      <c r="I48" s="122" t="str">
        <f>IFERROR(VLOOKUP($B48,table6[],7, 0),"-")</f>
        <v>-</v>
      </c>
      <c r="J48" s="122" t="str">
        <f>IFERROR(VLOOKUP($B48,table7[],7, 0),"-")</f>
        <v>-</v>
      </c>
      <c r="K48" s="122" t="str">
        <f>IFERROR(VLOOKUP($B48,table8[],7, 0),"-")</f>
        <v>-</v>
      </c>
      <c r="L48" s="122" t="str">
        <f>IFERROR(VLOOKUP($B48,table9[],15, 0),"-")</f>
        <v>-</v>
      </c>
      <c r="M48" s="122" t="str">
        <f>IFERROR(VLOOKUP($B48,table10[],7, 0),"-")</f>
        <v>-</v>
      </c>
      <c r="N48" s="30">
        <f t="shared" si="0"/>
        <v>0</v>
      </c>
      <c r="O48" s="14"/>
    </row>
    <row r="49" spans="1:15" s="25" customFormat="1" ht="15" hidden="1" x14ac:dyDescent="0.2">
      <c r="A49" s="56">
        <v>46</v>
      </c>
      <c r="B49" s="56"/>
      <c r="C49" s="29">
        <f>IFERROR(VLOOKUP(B49,Table16[],12,FALSE),0)</f>
        <v>0</v>
      </c>
      <c r="D49" s="122" t="str">
        <f>IFERROR(VLOOKUP($B49,table1[],7, 0),"-")</f>
        <v>-</v>
      </c>
      <c r="E49" s="122" t="str">
        <f>IFERROR(VLOOKUP($B49,table2[],7, 0),"-")</f>
        <v>-</v>
      </c>
      <c r="F49" s="122" t="str">
        <f>IFERROR(VLOOKUP($B49,table3[],7, 0),"-")</f>
        <v>-</v>
      </c>
      <c r="G49" s="122" t="str">
        <f>IFERROR(VLOOKUP($B49,table4[],7, 0),"-")</f>
        <v>-</v>
      </c>
      <c r="H49" s="122" t="str">
        <f>IFERROR(VLOOKUP($B49,table5[],7, 0),"-")</f>
        <v>-</v>
      </c>
      <c r="I49" s="122" t="str">
        <f>IFERROR(VLOOKUP($B49,table6[],7, 0),"-")</f>
        <v>-</v>
      </c>
      <c r="J49" s="122" t="str">
        <f>IFERROR(VLOOKUP($B49,table7[],7, 0),"-")</f>
        <v>-</v>
      </c>
      <c r="K49" s="122" t="str">
        <f>IFERROR(VLOOKUP($B49,table8[],7, 0),"-")</f>
        <v>-</v>
      </c>
      <c r="L49" s="122" t="str">
        <f>IFERROR(VLOOKUP($B49,table9[],15, 0),"-")</f>
        <v>-</v>
      </c>
      <c r="M49" s="122" t="str">
        <f>IFERROR(VLOOKUP($B49,table10[],7, 0),"-")</f>
        <v>-</v>
      </c>
      <c r="N49" s="30">
        <f t="shared" si="0"/>
        <v>0</v>
      </c>
      <c r="O49" s="14"/>
    </row>
    <row r="50" spans="1:15" s="25" customFormat="1" ht="15" hidden="1" x14ac:dyDescent="0.2">
      <c r="A50" s="56">
        <v>47</v>
      </c>
      <c r="B50" s="149"/>
      <c r="C50" s="29">
        <f>IFERROR(VLOOKUP(B50,Table16[],12,FALSE),0)</f>
        <v>0</v>
      </c>
      <c r="D50" s="122" t="str">
        <f>IFERROR(VLOOKUP($B50,table1[],7, 0),"-")</f>
        <v>-</v>
      </c>
      <c r="E50" s="122" t="str">
        <f>IFERROR(VLOOKUP($B50,table2[],7, 0),"-")</f>
        <v>-</v>
      </c>
      <c r="F50" s="122" t="str">
        <f>IFERROR(VLOOKUP($B50,table3[],7, 0),"-")</f>
        <v>-</v>
      </c>
      <c r="G50" s="122" t="str">
        <f>IFERROR(VLOOKUP($B50,table4[],7, 0),"-")</f>
        <v>-</v>
      </c>
      <c r="H50" s="122" t="str">
        <f>IFERROR(VLOOKUP($B50,table5[],7, 0),"-")</f>
        <v>-</v>
      </c>
      <c r="I50" s="122" t="str">
        <f>IFERROR(VLOOKUP($B50,table6[],7, 0),"-")</f>
        <v>-</v>
      </c>
      <c r="J50" s="122" t="str">
        <f>IFERROR(VLOOKUP($B50,table7[],7, 0),"-")</f>
        <v>-</v>
      </c>
      <c r="K50" s="122" t="str">
        <f>IFERROR(VLOOKUP($B50,table8[],7, 0),"-")</f>
        <v>-</v>
      </c>
      <c r="L50" s="122" t="str">
        <f>IFERROR(VLOOKUP($B50,table9[],15, 0),"-")</f>
        <v>-</v>
      </c>
      <c r="M50" s="122" t="str">
        <f>IFERROR(VLOOKUP($B50,table10[],7, 0),"-")</f>
        <v>-</v>
      </c>
      <c r="N50" s="131">
        <f t="shared" si="0"/>
        <v>0</v>
      </c>
      <c r="O50" s="14"/>
    </row>
    <row r="51" spans="1:15" s="25" customFormat="1" ht="15" hidden="1" x14ac:dyDescent="0.2">
      <c r="A51" s="56">
        <v>48</v>
      </c>
      <c r="B51" s="149"/>
      <c r="C51" s="29">
        <f>IFERROR(VLOOKUP(B51,Table16[],12,FALSE),0)</f>
        <v>0</v>
      </c>
      <c r="D51" s="122" t="str">
        <f>IFERROR(VLOOKUP($B51,table1[],7, 0),"-")</f>
        <v>-</v>
      </c>
      <c r="E51" s="122" t="str">
        <f>IFERROR(VLOOKUP($B51,table2[],7, 0),"-")</f>
        <v>-</v>
      </c>
      <c r="F51" s="122" t="str">
        <f>IFERROR(VLOOKUP($B51,table3[],7, 0),"-")</f>
        <v>-</v>
      </c>
      <c r="G51" s="122" t="str">
        <f>IFERROR(VLOOKUP($B51,table4[],7, 0),"-")</f>
        <v>-</v>
      </c>
      <c r="H51" s="122" t="str">
        <f>IFERROR(VLOOKUP($B51,table5[],7, 0),"-")</f>
        <v>-</v>
      </c>
      <c r="I51" s="122" t="str">
        <f>IFERROR(VLOOKUP($B51,table6[],7, 0),"-")</f>
        <v>-</v>
      </c>
      <c r="J51" s="122" t="str">
        <f>IFERROR(VLOOKUP($B51,table7[],7, 0),"-")</f>
        <v>-</v>
      </c>
      <c r="K51" s="122" t="str">
        <f>IFERROR(VLOOKUP($B51,table8[],7, 0),"-")</f>
        <v>-</v>
      </c>
      <c r="L51" s="122" t="str">
        <f>IFERROR(VLOOKUP($B51,table9[],15, 0),"-")</f>
        <v>-</v>
      </c>
      <c r="M51" s="122" t="str">
        <f>IFERROR(VLOOKUP($B51,table10[],7, 0),"-")</f>
        <v>-</v>
      </c>
      <c r="N51" s="131">
        <f t="shared" si="0"/>
        <v>0</v>
      </c>
      <c r="O51" s="14"/>
    </row>
    <row r="52" spans="1:15" s="25" customFormat="1" ht="15" hidden="1" x14ac:dyDescent="0.2">
      <c r="A52" s="56">
        <v>49</v>
      </c>
      <c r="B52" s="149"/>
      <c r="C52" s="29">
        <f>IFERROR(VLOOKUP(B52,Table16[],12,FALSE),0)</f>
        <v>0</v>
      </c>
      <c r="D52" s="122" t="str">
        <f>IFERROR(VLOOKUP($B52,table1[],7, 0),"-")</f>
        <v>-</v>
      </c>
      <c r="E52" s="122" t="str">
        <f>IFERROR(VLOOKUP($B52,table2[],7, 0),"-")</f>
        <v>-</v>
      </c>
      <c r="F52" s="122" t="str">
        <f>IFERROR(VLOOKUP($B52,table3[],7, 0),"-")</f>
        <v>-</v>
      </c>
      <c r="G52" s="122" t="str">
        <f>IFERROR(VLOOKUP($B52,table4[],7, 0),"-")</f>
        <v>-</v>
      </c>
      <c r="H52" s="122" t="str">
        <f>IFERROR(VLOOKUP($B52,table5[],7, 0),"-")</f>
        <v>-</v>
      </c>
      <c r="I52" s="122" t="str">
        <f>IFERROR(VLOOKUP($B52,table6[],7, 0),"-")</f>
        <v>-</v>
      </c>
      <c r="J52" s="122" t="str">
        <f>IFERROR(VLOOKUP($B52,table7[],7, 0),"-")</f>
        <v>-</v>
      </c>
      <c r="K52" s="122" t="str">
        <f>IFERROR(VLOOKUP($B52,table8[],7, 0),"-")</f>
        <v>-</v>
      </c>
      <c r="L52" s="122" t="str">
        <f>IFERROR(VLOOKUP($B52,table9[],15, 0),"-")</f>
        <v>-</v>
      </c>
      <c r="M52" s="122" t="str">
        <f>IFERROR(VLOOKUP($B52,table10[],7, 0),"-")</f>
        <v>-</v>
      </c>
      <c r="N52" s="131">
        <f t="shared" si="0"/>
        <v>0</v>
      </c>
      <c r="O52" s="14"/>
    </row>
    <row r="53" spans="1:15" s="25" customFormat="1" ht="15" hidden="1" x14ac:dyDescent="0.2">
      <c r="A53" s="56">
        <v>50</v>
      </c>
      <c r="B53" s="149"/>
      <c r="C53" s="29">
        <f>IFERROR(VLOOKUP(B53,Table16[],12,FALSE),0)</f>
        <v>0</v>
      </c>
      <c r="D53" s="122" t="str">
        <f>IFERROR(VLOOKUP($B53,table1[],7, 0),"-")</f>
        <v>-</v>
      </c>
      <c r="E53" s="122" t="str">
        <f>IFERROR(VLOOKUP($B53,table2[],7, 0),"-")</f>
        <v>-</v>
      </c>
      <c r="F53" s="122" t="str">
        <f>IFERROR(VLOOKUP($B53,table3[],7, 0),"-")</f>
        <v>-</v>
      </c>
      <c r="G53" s="122" t="str">
        <f>IFERROR(VLOOKUP($B53,table4[],7, 0),"-")</f>
        <v>-</v>
      </c>
      <c r="H53" s="122" t="str">
        <f>IFERROR(VLOOKUP($B53,table5[],7, 0),"-")</f>
        <v>-</v>
      </c>
      <c r="I53" s="122" t="str">
        <f>IFERROR(VLOOKUP($B53,table6[],7, 0),"-")</f>
        <v>-</v>
      </c>
      <c r="J53" s="122" t="str">
        <f>IFERROR(VLOOKUP($B53,table7[],7, 0),"-")</f>
        <v>-</v>
      </c>
      <c r="K53" s="122" t="str">
        <f>IFERROR(VLOOKUP($B53,table8[],7, 0),"-")</f>
        <v>-</v>
      </c>
      <c r="L53" s="122" t="str">
        <f>IFERROR(VLOOKUP($B53,table9[],15, 0),"-")</f>
        <v>-</v>
      </c>
      <c r="M53" s="122" t="str">
        <f>IFERROR(VLOOKUP($B53,table10[],7, 0),"-")</f>
        <v>-</v>
      </c>
      <c r="N53" s="131">
        <f t="shared" si="0"/>
        <v>0</v>
      </c>
      <c r="O53" s="14"/>
    </row>
    <row r="54" spans="1:15" s="25" customFormat="1" ht="15" hidden="1" x14ac:dyDescent="0.2">
      <c r="A54" s="56">
        <v>51</v>
      </c>
      <c r="B54" s="56"/>
      <c r="C54" s="29">
        <f>IFERROR(VLOOKUP(B54,Table16[],12,FALSE),0)</f>
        <v>0</v>
      </c>
      <c r="D54" s="122" t="str">
        <f>IFERROR(VLOOKUP($B54,table1[],7, 0),"-")</f>
        <v>-</v>
      </c>
      <c r="E54" s="122" t="str">
        <f>IFERROR(VLOOKUP($B54,table2[],7, 0),"-")</f>
        <v>-</v>
      </c>
      <c r="F54" s="122" t="str">
        <f>IFERROR(VLOOKUP($B54,table3[],7, 0),"-")</f>
        <v>-</v>
      </c>
      <c r="G54" s="122" t="str">
        <f>IFERROR(VLOOKUP($B54,table4[],7, 0),"-")</f>
        <v>-</v>
      </c>
      <c r="H54" s="122" t="str">
        <f>IFERROR(VLOOKUP($B54,table5[],7, 0),"-")</f>
        <v>-</v>
      </c>
      <c r="I54" s="122" t="str">
        <f>IFERROR(VLOOKUP($B54,table6[],7, 0),"-")</f>
        <v>-</v>
      </c>
      <c r="J54" s="122" t="str">
        <f>IFERROR(VLOOKUP($B54,table7[],7, 0),"-")</f>
        <v>-</v>
      </c>
      <c r="K54" s="122" t="str">
        <f>IFERROR(VLOOKUP($B54,table8[],7, 0),"-")</f>
        <v>-</v>
      </c>
      <c r="L54" s="122" t="str">
        <f>IFERROR(VLOOKUP($B54,table9[],15, 0),"-")</f>
        <v>-</v>
      </c>
      <c r="M54" s="122" t="str">
        <f>IFERROR(VLOOKUP($B54,table10[],7, 0),"-")</f>
        <v>-</v>
      </c>
      <c r="N54" s="30">
        <f t="shared" si="0"/>
        <v>0</v>
      </c>
      <c r="O54" s="14"/>
    </row>
    <row r="55" spans="1:15" s="25" customFormat="1" ht="15" hidden="1" x14ac:dyDescent="0.2">
      <c r="A55" s="56">
        <v>52</v>
      </c>
      <c r="B55" s="56"/>
      <c r="C55" s="29">
        <f>IFERROR(VLOOKUP(B55,Table16[],12,FALSE),0)</f>
        <v>0</v>
      </c>
      <c r="D55" s="122" t="str">
        <f>IFERROR(VLOOKUP($B55,table1[],7, 0),"-")</f>
        <v>-</v>
      </c>
      <c r="E55" s="122" t="str">
        <f>IFERROR(VLOOKUP($B55,table2[],7, 0),"-")</f>
        <v>-</v>
      </c>
      <c r="F55" s="122" t="str">
        <f>IFERROR(VLOOKUP($B55,table3[],7, 0),"-")</f>
        <v>-</v>
      </c>
      <c r="G55" s="122" t="str">
        <f>IFERROR(VLOOKUP($B55,table4[],7, 0),"-")</f>
        <v>-</v>
      </c>
      <c r="H55" s="122" t="str">
        <f>IFERROR(VLOOKUP($B55,table5[],7, 0),"-")</f>
        <v>-</v>
      </c>
      <c r="I55" s="122" t="str">
        <f>IFERROR(VLOOKUP($B55,table6[],7, 0),"-")</f>
        <v>-</v>
      </c>
      <c r="J55" s="122" t="str">
        <f>IFERROR(VLOOKUP($B55,table7[],7, 0),"-")</f>
        <v>-</v>
      </c>
      <c r="K55" s="122" t="str">
        <f>IFERROR(VLOOKUP($B55,table8[],7, 0),"-")</f>
        <v>-</v>
      </c>
      <c r="L55" s="122" t="str">
        <f>IFERROR(VLOOKUP($B55,table9[],15, 0),"-")</f>
        <v>-</v>
      </c>
      <c r="M55" s="122" t="str">
        <f>IFERROR(VLOOKUP($B55,table10[],7, 0),"-")</f>
        <v>-</v>
      </c>
      <c r="N55" s="30">
        <f t="shared" si="0"/>
        <v>0</v>
      </c>
      <c r="O55" s="14"/>
    </row>
    <row r="56" spans="1:15" s="25" customFormat="1" ht="15" hidden="1" x14ac:dyDescent="0.2">
      <c r="A56" s="56">
        <v>53</v>
      </c>
      <c r="B56" s="56"/>
      <c r="C56" s="29">
        <f>IFERROR(VLOOKUP(B56,Table16[],12,FALSE),0)</f>
        <v>0</v>
      </c>
      <c r="D56" s="122" t="str">
        <f>IFERROR(VLOOKUP($B56,table1[],7, 0),"-")</f>
        <v>-</v>
      </c>
      <c r="E56" s="122" t="str">
        <f>IFERROR(VLOOKUP($B56,table2[],7, 0),"-")</f>
        <v>-</v>
      </c>
      <c r="F56" s="122" t="str">
        <f>IFERROR(VLOOKUP($B56,table3[],7, 0),"-")</f>
        <v>-</v>
      </c>
      <c r="G56" s="122" t="str">
        <f>IFERROR(VLOOKUP($B56,table4[],7, 0),"-")</f>
        <v>-</v>
      </c>
      <c r="H56" s="122" t="str">
        <f>IFERROR(VLOOKUP($B56,table5[],7, 0),"-")</f>
        <v>-</v>
      </c>
      <c r="I56" s="122" t="str">
        <f>IFERROR(VLOOKUP($B56,table6[],7, 0),"-")</f>
        <v>-</v>
      </c>
      <c r="J56" s="122" t="str">
        <f>IFERROR(VLOOKUP($B56,table7[],7, 0),"-")</f>
        <v>-</v>
      </c>
      <c r="K56" s="122" t="str">
        <f>IFERROR(VLOOKUP($B56,table8[],7, 0),"-")</f>
        <v>-</v>
      </c>
      <c r="L56" s="122" t="str">
        <f>IFERROR(VLOOKUP($B56,table9[],15, 0),"-")</f>
        <v>-</v>
      </c>
      <c r="M56" s="122" t="str">
        <f>IFERROR(VLOOKUP($B56,table10[],7, 0),"-")</f>
        <v>-</v>
      </c>
      <c r="N56" s="30">
        <f t="shared" si="0"/>
        <v>0</v>
      </c>
      <c r="O56" s="14"/>
    </row>
    <row r="57" spans="1:15" s="25" customFormat="1" ht="15" hidden="1" x14ac:dyDescent="0.2">
      <c r="A57" s="56">
        <v>54</v>
      </c>
      <c r="B57" s="56"/>
      <c r="C57" s="29">
        <f>IFERROR(VLOOKUP(B57,Table16[],12,FALSE),0)</f>
        <v>0</v>
      </c>
      <c r="D57" s="122" t="str">
        <f>IFERROR(VLOOKUP($B57,table1[],7, 0),"-")</f>
        <v>-</v>
      </c>
      <c r="E57" s="122" t="str">
        <f>IFERROR(VLOOKUP($B57,table2[],7, 0),"-")</f>
        <v>-</v>
      </c>
      <c r="F57" s="122" t="str">
        <f>IFERROR(VLOOKUP($B57,table3[],7, 0),"-")</f>
        <v>-</v>
      </c>
      <c r="G57" s="122" t="str">
        <f>IFERROR(VLOOKUP($B57,table4[],7, 0),"-")</f>
        <v>-</v>
      </c>
      <c r="H57" s="122" t="str">
        <f>IFERROR(VLOOKUP($B57,table5[],7, 0),"-")</f>
        <v>-</v>
      </c>
      <c r="I57" s="122" t="str">
        <f>IFERROR(VLOOKUP($B57,table6[],7, 0),"-")</f>
        <v>-</v>
      </c>
      <c r="J57" s="122" t="str">
        <f>IFERROR(VLOOKUP($B57,table7[],7, 0),"-")</f>
        <v>-</v>
      </c>
      <c r="K57" s="122" t="str">
        <f>IFERROR(VLOOKUP($B57,table8[],7, 0),"-")</f>
        <v>-</v>
      </c>
      <c r="L57" s="122" t="str">
        <f>IFERROR(VLOOKUP($B57,table9[],15, 0),"-")</f>
        <v>-</v>
      </c>
      <c r="M57" s="122" t="str">
        <f>IFERROR(VLOOKUP($B57,table10[],7, 0),"-")</f>
        <v>-</v>
      </c>
      <c r="N57" s="30">
        <f t="shared" si="0"/>
        <v>0</v>
      </c>
      <c r="O57" s="14"/>
    </row>
    <row r="58" spans="1:15" s="25" customFormat="1" ht="15" hidden="1" x14ac:dyDescent="0.2">
      <c r="A58" s="56">
        <v>55</v>
      </c>
      <c r="B58" s="56"/>
      <c r="C58" s="29">
        <f>IFERROR(VLOOKUP(B58,Table16[],12,FALSE),0)</f>
        <v>0</v>
      </c>
      <c r="D58" s="122" t="str">
        <f>IFERROR(VLOOKUP($B58,table1[],7, 0),"-")</f>
        <v>-</v>
      </c>
      <c r="E58" s="122" t="str">
        <f>IFERROR(VLOOKUP($B58,table2[],7, 0),"-")</f>
        <v>-</v>
      </c>
      <c r="F58" s="122" t="str">
        <f>IFERROR(VLOOKUP($B58,table3[],7, 0),"-")</f>
        <v>-</v>
      </c>
      <c r="G58" s="122" t="str">
        <f>IFERROR(VLOOKUP($B58,table4[],7, 0),"-")</f>
        <v>-</v>
      </c>
      <c r="H58" s="122" t="str">
        <f>IFERROR(VLOOKUP($B58,table5[],7, 0),"-")</f>
        <v>-</v>
      </c>
      <c r="I58" s="122" t="str">
        <f>IFERROR(VLOOKUP($B58,table6[],7, 0),"-")</f>
        <v>-</v>
      </c>
      <c r="J58" s="122" t="str">
        <f>IFERROR(VLOOKUP($B58,table7[],7, 0),"-")</f>
        <v>-</v>
      </c>
      <c r="K58" s="122" t="str">
        <f>IFERROR(VLOOKUP($B58,table8[],7, 0),"-")</f>
        <v>-</v>
      </c>
      <c r="L58" s="122" t="str">
        <f>IFERROR(VLOOKUP($B58,table9[],15, 0),"-")</f>
        <v>-</v>
      </c>
      <c r="M58" s="122" t="str">
        <f>IFERROR(VLOOKUP($B58,table10[],7, 0),"-")</f>
        <v>-</v>
      </c>
      <c r="N58" s="30">
        <f t="shared" si="0"/>
        <v>0</v>
      </c>
      <c r="O58" s="14"/>
    </row>
    <row r="59" spans="1:15" s="25" customFormat="1" ht="15" hidden="1" x14ac:dyDescent="0.2">
      <c r="A59" s="56">
        <v>56</v>
      </c>
      <c r="B59" s="56"/>
      <c r="C59" s="29">
        <f>IFERROR(VLOOKUP(B59,Table16[],12,FALSE),0)</f>
        <v>0</v>
      </c>
      <c r="D59" s="122" t="str">
        <f>IFERROR(VLOOKUP($B59,table1[],7, 0),"-")</f>
        <v>-</v>
      </c>
      <c r="E59" s="122" t="str">
        <f>IFERROR(VLOOKUP($B59,table2[],7, 0),"-")</f>
        <v>-</v>
      </c>
      <c r="F59" s="122" t="str">
        <f>IFERROR(VLOOKUP($B59,table3[],7, 0),"-")</f>
        <v>-</v>
      </c>
      <c r="G59" s="122" t="str">
        <f>IFERROR(VLOOKUP($B59,table4[],7, 0),"-")</f>
        <v>-</v>
      </c>
      <c r="H59" s="122" t="str">
        <f>IFERROR(VLOOKUP($B59,table5[],7, 0),"-")</f>
        <v>-</v>
      </c>
      <c r="I59" s="122" t="str">
        <f>IFERROR(VLOOKUP($B59,table6[],7, 0),"-")</f>
        <v>-</v>
      </c>
      <c r="J59" s="122" t="str">
        <f>IFERROR(VLOOKUP($B59,table7[],7, 0),"-")</f>
        <v>-</v>
      </c>
      <c r="K59" s="122" t="str">
        <f>IFERROR(VLOOKUP($B59,table8[],7, 0),"-")</f>
        <v>-</v>
      </c>
      <c r="L59" s="122" t="str">
        <f>IFERROR(VLOOKUP($B59,table9[],15, 0),"-")</f>
        <v>-</v>
      </c>
      <c r="M59" s="122" t="str">
        <f>IFERROR(VLOOKUP($B59,table10[],7, 0),"-")</f>
        <v>-</v>
      </c>
      <c r="N59" s="30">
        <f t="shared" si="0"/>
        <v>0</v>
      </c>
      <c r="O59" s="14"/>
    </row>
    <row r="60" spans="1:15" s="25" customFormat="1" ht="15" hidden="1" x14ac:dyDescent="0.2">
      <c r="A60" s="56">
        <v>57</v>
      </c>
      <c r="B60" s="56"/>
      <c r="C60" s="29">
        <f>IFERROR(VLOOKUP(B60,Table16[],12,FALSE),0)</f>
        <v>0</v>
      </c>
      <c r="D60" s="122" t="str">
        <f>IFERROR(VLOOKUP($B60,table1[],7, 0),"-")</f>
        <v>-</v>
      </c>
      <c r="E60" s="122" t="str">
        <f>IFERROR(VLOOKUP($B60,table2[],7, 0),"-")</f>
        <v>-</v>
      </c>
      <c r="F60" s="122" t="str">
        <f>IFERROR(VLOOKUP($B60,table3[],7, 0),"-")</f>
        <v>-</v>
      </c>
      <c r="G60" s="122" t="str">
        <f>IFERROR(VLOOKUP($B60,table4[],7, 0),"-")</f>
        <v>-</v>
      </c>
      <c r="H60" s="122" t="str">
        <f>IFERROR(VLOOKUP($B60,table5[],7, 0),"-")</f>
        <v>-</v>
      </c>
      <c r="I60" s="122" t="str">
        <f>IFERROR(VLOOKUP($B60,table6[],7, 0),"-")</f>
        <v>-</v>
      </c>
      <c r="J60" s="122" t="str">
        <f>IFERROR(VLOOKUP($B60,table7[],7, 0),"-")</f>
        <v>-</v>
      </c>
      <c r="K60" s="122" t="str">
        <f>IFERROR(VLOOKUP($B60,table8[],7, 0),"-")</f>
        <v>-</v>
      </c>
      <c r="L60" s="122" t="str">
        <f>IFERROR(VLOOKUP($B60,table9[],15, 0),"-")</f>
        <v>-</v>
      </c>
      <c r="M60" s="122" t="str">
        <f>IFERROR(VLOOKUP($B60,table10[],7, 0),"-")</f>
        <v>-</v>
      </c>
      <c r="N60" s="30">
        <f t="shared" si="0"/>
        <v>0</v>
      </c>
      <c r="O60" s="14"/>
    </row>
    <row r="61" spans="1:15" s="25" customFormat="1" ht="15" hidden="1" x14ac:dyDescent="0.2">
      <c r="A61" s="56">
        <v>58</v>
      </c>
      <c r="B61" s="56"/>
      <c r="C61" s="29">
        <f>IFERROR(VLOOKUP(B61,Table16[],12,FALSE),0)</f>
        <v>0</v>
      </c>
      <c r="D61" s="122" t="str">
        <f>IFERROR(VLOOKUP($B61,table1[],7, 0),"-")</f>
        <v>-</v>
      </c>
      <c r="E61" s="122" t="str">
        <f>IFERROR(VLOOKUP($B61,table2[],7, 0),"-")</f>
        <v>-</v>
      </c>
      <c r="F61" s="122" t="str">
        <f>IFERROR(VLOOKUP($B61,table3[],7, 0),"-")</f>
        <v>-</v>
      </c>
      <c r="G61" s="122" t="str">
        <f>IFERROR(VLOOKUP($B61,table4[],7, 0),"-")</f>
        <v>-</v>
      </c>
      <c r="H61" s="122" t="str">
        <f>IFERROR(VLOOKUP($B61,table5[],7, 0),"-")</f>
        <v>-</v>
      </c>
      <c r="I61" s="122" t="str">
        <f>IFERROR(VLOOKUP($B61,table6[],7, 0),"-")</f>
        <v>-</v>
      </c>
      <c r="J61" s="122" t="str">
        <f>IFERROR(VLOOKUP($B61,table7[],7, 0),"-")</f>
        <v>-</v>
      </c>
      <c r="K61" s="122" t="str">
        <f>IFERROR(VLOOKUP($B61,table8[],7, 0),"-")</f>
        <v>-</v>
      </c>
      <c r="L61" s="122" t="str">
        <f>IFERROR(VLOOKUP($B61,table9[],15, 0),"-")</f>
        <v>-</v>
      </c>
      <c r="M61" s="122" t="str">
        <f>IFERROR(VLOOKUP($B61,table10[],7, 0),"-")</f>
        <v>-</v>
      </c>
      <c r="N61" s="30">
        <f t="shared" si="0"/>
        <v>0</v>
      </c>
      <c r="O61" s="14"/>
    </row>
    <row r="62" spans="1:15" s="25" customFormat="1" ht="15" hidden="1" x14ac:dyDescent="0.2">
      <c r="A62" s="56">
        <v>59</v>
      </c>
      <c r="B62" s="56"/>
      <c r="C62" s="29">
        <f>IFERROR(VLOOKUP(B62,Table16[],12,FALSE),0)</f>
        <v>0</v>
      </c>
      <c r="D62" s="122" t="str">
        <f>IFERROR(VLOOKUP($B62,table1[],7, 0),"-")</f>
        <v>-</v>
      </c>
      <c r="E62" s="122" t="str">
        <f>IFERROR(VLOOKUP($B62,table2[],7, 0),"-")</f>
        <v>-</v>
      </c>
      <c r="F62" s="122" t="str">
        <f>IFERROR(VLOOKUP($B62,table3[],7, 0),"-")</f>
        <v>-</v>
      </c>
      <c r="G62" s="122" t="str">
        <f>IFERROR(VLOOKUP($B62,table4[],7, 0),"-")</f>
        <v>-</v>
      </c>
      <c r="H62" s="122" t="str">
        <f>IFERROR(VLOOKUP($B62,table5[],7, 0),"-")</f>
        <v>-</v>
      </c>
      <c r="I62" s="122" t="str">
        <f>IFERROR(VLOOKUP($B62,table6[],7, 0),"-")</f>
        <v>-</v>
      </c>
      <c r="J62" s="122" t="str">
        <f>IFERROR(VLOOKUP($B62,table7[],7, 0),"-")</f>
        <v>-</v>
      </c>
      <c r="K62" s="122" t="str">
        <f>IFERROR(VLOOKUP($B62,table8[],7, 0),"-")</f>
        <v>-</v>
      </c>
      <c r="L62" s="122" t="str">
        <f>IFERROR(VLOOKUP($B62,table9[],15, 0),"-")</f>
        <v>-</v>
      </c>
      <c r="M62" s="122" t="str">
        <f>IFERROR(VLOOKUP($B62,table10[],7, 0),"-")</f>
        <v>-</v>
      </c>
      <c r="N62" s="30">
        <f t="shared" si="0"/>
        <v>0</v>
      </c>
      <c r="O62" s="14"/>
    </row>
    <row r="63" spans="1:15" s="25" customFormat="1" ht="15" hidden="1" x14ac:dyDescent="0.2">
      <c r="A63" s="56">
        <v>60</v>
      </c>
      <c r="B63" s="56"/>
      <c r="C63" s="29">
        <f>IFERROR(VLOOKUP(B63,Table16[],12,FALSE),0)</f>
        <v>0</v>
      </c>
      <c r="D63" s="122" t="str">
        <f>IFERROR(VLOOKUP($B63,table1[],7, 0),"-")</f>
        <v>-</v>
      </c>
      <c r="E63" s="122" t="str">
        <f>IFERROR(VLOOKUP($B63,table2[],7, 0),"-")</f>
        <v>-</v>
      </c>
      <c r="F63" s="122" t="str">
        <f>IFERROR(VLOOKUP($B63,table3[],7, 0),"-")</f>
        <v>-</v>
      </c>
      <c r="G63" s="122" t="str">
        <f>IFERROR(VLOOKUP($B63,table4[],7, 0),"-")</f>
        <v>-</v>
      </c>
      <c r="H63" s="122" t="str">
        <f>IFERROR(VLOOKUP($B63,table5[],7, 0),"-")</f>
        <v>-</v>
      </c>
      <c r="I63" s="122" t="str">
        <f>IFERROR(VLOOKUP($B63,table6[],7, 0),"-")</f>
        <v>-</v>
      </c>
      <c r="J63" s="122" t="str">
        <f>IFERROR(VLOOKUP($B63,table7[],7, 0),"-")</f>
        <v>-</v>
      </c>
      <c r="K63" s="122" t="str">
        <f>IFERROR(VLOOKUP($B63,table8[],7, 0),"-")</f>
        <v>-</v>
      </c>
      <c r="L63" s="122" t="str">
        <f>IFERROR(VLOOKUP($B63,table9[],15, 0),"-")</f>
        <v>-</v>
      </c>
      <c r="M63" s="122" t="str">
        <f>IFERROR(VLOOKUP($B63,table10[],7, 0),"-")</f>
        <v>-</v>
      </c>
      <c r="N63" s="30">
        <f t="shared" si="0"/>
        <v>0</v>
      </c>
      <c r="O63" s="14"/>
    </row>
    <row r="64" spans="1:15" s="25" customFormat="1" ht="15" hidden="1" x14ac:dyDescent="0.2">
      <c r="A64" s="56">
        <v>61</v>
      </c>
      <c r="B64" s="56"/>
      <c r="C64" s="29">
        <f>IFERROR(VLOOKUP(B64,Table16[],12,FALSE),0)</f>
        <v>0</v>
      </c>
      <c r="D64" s="122" t="str">
        <f>IFERROR(VLOOKUP($B64,table1[],7, 0),"-")</f>
        <v>-</v>
      </c>
      <c r="E64" s="122" t="str">
        <f>IFERROR(VLOOKUP($B64,table2[],7, 0),"-")</f>
        <v>-</v>
      </c>
      <c r="F64" s="122" t="str">
        <f>IFERROR(VLOOKUP($B64,table3[],7, 0),"-")</f>
        <v>-</v>
      </c>
      <c r="G64" s="122" t="str">
        <f>IFERROR(VLOOKUP($B64,table4[],7, 0),"-")</f>
        <v>-</v>
      </c>
      <c r="H64" s="122" t="str">
        <f>IFERROR(VLOOKUP($B64,table5[],7, 0),"-")</f>
        <v>-</v>
      </c>
      <c r="I64" s="122" t="str">
        <f>IFERROR(VLOOKUP($B64,table6[],7, 0),"-")</f>
        <v>-</v>
      </c>
      <c r="J64" s="122" t="str">
        <f>IFERROR(VLOOKUP($B64,table7[],7, 0),"-")</f>
        <v>-</v>
      </c>
      <c r="K64" s="122" t="str">
        <f>IFERROR(VLOOKUP($B64,table8[],7, 0),"-")</f>
        <v>-</v>
      </c>
      <c r="L64" s="122" t="str">
        <f>IFERROR(VLOOKUP($B64,table9[],15, 0),"-")</f>
        <v>-</v>
      </c>
      <c r="M64" s="122" t="str">
        <f>IFERROR(VLOOKUP($B64,table10[],7, 0),"-")</f>
        <v>-</v>
      </c>
      <c r="N64" s="30">
        <f t="shared" si="0"/>
        <v>0</v>
      </c>
      <c r="O64" s="14"/>
    </row>
    <row r="65" spans="1:18" s="25" customFormat="1" ht="15" hidden="1" x14ac:dyDescent="0.2">
      <c r="A65" s="56">
        <v>62</v>
      </c>
      <c r="B65" s="56"/>
      <c r="C65" s="29">
        <f>IFERROR(VLOOKUP(B65,Table16[],12,FALSE),0)</f>
        <v>0</v>
      </c>
      <c r="D65" s="122" t="str">
        <f>IFERROR(VLOOKUP($B65,table1[],7, 0),"-")</f>
        <v>-</v>
      </c>
      <c r="E65" s="122" t="str">
        <f>IFERROR(VLOOKUP($B65,table2[],7, 0),"-")</f>
        <v>-</v>
      </c>
      <c r="F65" s="122" t="str">
        <f>IFERROR(VLOOKUP($B65,table3[],7, 0),"-")</f>
        <v>-</v>
      </c>
      <c r="G65" s="122" t="str">
        <f>IFERROR(VLOOKUP($B65,table4[],7, 0),"-")</f>
        <v>-</v>
      </c>
      <c r="H65" s="122" t="str">
        <f>IFERROR(VLOOKUP($B65,table5[],7, 0),"-")</f>
        <v>-</v>
      </c>
      <c r="I65" s="122" t="str">
        <f>IFERROR(VLOOKUP($B65,table6[],7, 0),"-")</f>
        <v>-</v>
      </c>
      <c r="J65" s="122" t="str">
        <f>IFERROR(VLOOKUP($B65,table7[],7, 0),"-")</f>
        <v>-</v>
      </c>
      <c r="K65" s="122" t="str">
        <f>IFERROR(VLOOKUP($B65,table8[],7, 0),"-")</f>
        <v>-</v>
      </c>
      <c r="L65" s="122" t="str">
        <f>IFERROR(VLOOKUP($B65,table9[],15, 0),"-")</f>
        <v>-</v>
      </c>
      <c r="M65" s="122" t="str">
        <f>IFERROR(VLOOKUP($B65,table10[],7, 0),"-")</f>
        <v>-</v>
      </c>
      <c r="N65" s="30">
        <f t="shared" si="0"/>
        <v>0</v>
      </c>
      <c r="O65" s="14"/>
    </row>
    <row r="66" spans="1:18" s="25" customFormat="1" ht="15" hidden="1" x14ac:dyDescent="0.2">
      <c r="A66" s="56">
        <v>63</v>
      </c>
      <c r="B66" s="56"/>
      <c r="C66" s="29">
        <f>IFERROR(VLOOKUP(B66,Table16[],12,FALSE),0)</f>
        <v>0</v>
      </c>
      <c r="D66" s="122" t="str">
        <f>IFERROR(VLOOKUP($B66,table1[],7, 0),"-")</f>
        <v>-</v>
      </c>
      <c r="E66" s="122" t="str">
        <f>IFERROR(VLOOKUP($B66,table2[],7, 0),"-")</f>
        <v>-</v>
      </c>
      <c r="F66" s="122" t="str">
        <f>IFERROR(VLOOKUP($B66,table3[],7, 0),"-")</f>
        <v>-</v>
      </c>
      <c r="G66" s="122" t="str">
        <f>IFERROR(VLOOKUP($B66,table4[],7, 0),"-")</f>
        <v>-</v>
      </c>
      <c r="H66" s="122" t="str">
        <f>IFERROR(VLOOKUP($B66,table5[],7, 0),"-")</f>
        <v>-</v>
      </c>
      <c r="I66" s="122" t="str">
        <f>IFERROR(VLOOKUP($B66,table6[],7, 0),"-")</f>
        <v>-</v>
      </c>
      <c r="J66" s="122" t="str">
        <f>IFERROR(VLOOKUP($B66,table7[],7, 0),"-")</f>
        <v>-</v>
      </c>
      <c r="K66" s="122" t="str">
        <f>IFERROR(VLOOKUP($B66,table8[],7, 0),"-")</f>
        <v>-</v>
      </c>
      <c r="L66" s="122" t="str">
        <f>IFERROR(VLOOKUP($B66,table9[],15, 0),"-")</f>
        <v>-</v>
      </c>
      <c r="M66" s="122" t="str">
        <f>IFERROR(VLOOKUP($B66,table10[],7, 0),"-")</f>
        <v>-</v>
      </c>
      <c r="N66" s="30">
        <f t="shared" si="0"/>
        <v>0</v>
      </c>
      <c r="O66" s="14"/>
    </row>
    <row r="67" spans="1:18" s="25" customFormat="1" ht="15" hidden="1" x14ac:dyDescent="0.2">
      <c r="A67" s="56">
        <v>64</v>
      </c>
      <c r="B67" s="56"/>
      <c r="C67" s="29">
        <f>IFERROR(VLOOKUP(B67,Table16[],12,FALSE),0)</f>
        <v>0</v>
      </c>
      <c r="D67" s="122" t="str">
        <f>IFERROR(VLOOKUP($B67,table1[],7, 0),"-")</f>
        <v>-</v>
      </c>
      <c r="E67" s="122" t="str">
        <f>IFERROR(VLOOKUP($B67,table2[],7, 0),"-")</f>
        <v>-</v>
      </c>
      <c r="F67" s="122" t="str">
        <f>IFERROR(VLOOKUP($B67,table3[],7, 0),"-")</f>
        <v>-</v>
      </c>
      <c r="G67" s="122" t="str">
        <f>IFERROR(VLOOKUP($B67,table4[],7, 0),"-")</f>
        <v>-</v>
      </c>
      <c r="H67" s="122" t="str">
        <f>IFERROR(VLOOKUP($B67,table5[],7, 0),"-")</f>
        <v>-</v>
      </c>
      <c r="I67" s="122" t="str">
        <f>IFERROR(VLOOKUP($B67,table6[],7, 0),"-")</f>
        <v>-</v>
      </c>
      <c r="J67" s="122" t="str">
        <f>IFERROR(VLOOKUP($B67,table7[],7, 0),"-")</f>
        <v>-</v>
      </c>
      <c r="K67" s="122" t="str">
        <f>IFERROR(VLOOKUP($B67,table8[],7, 0),"-")</f>
        <v>-</v>
      </c>
      <c r="L67" s="122" t="str">
        <f>IFERROR(VLOOKUP($B67,table9[],15, 0),"-")</f>
        <v>-</v>
      </c>
      <c r="M67" s="122" t="str">
        <f>IFERROR(VLOOKUP($B67,table10[],7, 0),"-")</f>
        <v>-</v>
      </c>
      <c r="N67" s="30">
        <f t="shared" si="0"/>
        <v>0</v>
      </c>
      <c r="O67" s="14"/>
    </row>
    <row r="68" spans="1:18" s="25" customFormat="1" ht="15" hidden="1" x14ac:dyDescent="0.2">
      <c r="A68" s="56">
        <v>65</v>
      </c>
      <c r="B68" s="56"/>
      <c r="C68" s="29">
        <f>IFERROR(VLOOKUP(B68,Table16[],12,FALSE),0)</f>
        <v>0</v>
      </c>
      <c r="D68" s="122" t="str">
        <f>IFERROR(VLOOKUP($B68,table1[],7, 0),"-")</f>
        <v>-</v>
      </c>
      <c r="E68" s="122" t="str">
        <f>IFERROR(VLOOKUP($B68,table2[],7, 0),"-")</f>
        <v>-</v>
      </c>
      <c r="F68" s="122" t="str">
        <f>IFERROR(VLOOKUP($B68,table3[],7, 0),"-")</f>
        <v>-</v>
      </c>
      <c r="G68" s="122" t="str">
        <f>IFERROR(VLOOKUP($B68,table4[],7, 0),"-")</f>
        <v>-</v>
      </c>
      <c r="H68" s="122" t="str">
        <f>IFERROR(VLOOKUP($B68,table5[],7, 0),"-")</f>
        <v>-</v>
      </c>
      <c r="I68" s="122" t="str">
        <f>IFERROR(VLOOKUP($B68,table6[],7, 0),"-")</f>
        <v>-</v>
      </c>
      <c r="J68" s="122" t="str">
        <f>IFERROR(VLOOKUP($B68,table7[],7, 0),"-")</f>
        <v>-</v>
      </c>
      <c r="K68" s="122" t="str">
        <f>IFERROR(VLOOKUP($B68,table8[],7, 0),"-")</f>
        <v>-</v>
      </c>
      <c r="L68" s="122" t="str">
        <f>IFERROR(VLOOKUP($B68,table9[],15, 0),"-")</f>
        <v>-</v>
      </c>
      <c r="M68" s="122" t="str">
        <f>IFERROR(VLOOKUP($B68,table10[],7, 0),"-")</f>
        <v>-</v>
      </c>
      <c r="N68" s="30">
        <f t="shared" ref="N68:N73" si="1">SUM(D68:M68)</f>
        <v>0</v>
      </c>
      <c r="O68" s="14"/>
    </row>
    <row r="69" spans="1:18" s="25" customFormat="1" ht="15" hidden="1" x14ac:dyDescent="0.2">
      <c r="A69" s="56">
        <v>66</v>
      </c>
      <c r="B69" s="56"/>
      <c r="C69" s="29">
        <f>IFERROR(VLOOKUP(B69,Table16[],12,FALSE),0)</f>
        <v>0</v>
      </c>
      <c r="D69" s="122" t="str">
        <f>IFERROR(VLOOKUP($B69,table1[],7, 0),"-")</f>
        <v>-</v>
      </c>
      <c r="E69" s="122" t="str">
        <f>IFERROR(VLOOKUP($B69,table2[],7, 0),"-")</f>
        <v>-</v>
      </c>
      <c r="F69" s="122" t="str">
        <f>IFERROR(VLOOKUP($B69,table3[],7, 0),"-")</f>
        <v>-</v>
      </c>
      <c r="G69" s="122" t="str">
        <f>IFERROR(VLOOKUP($B69,table4[],7, 0),"-")</f>
        <v>-</v>
      </c>
      <c r="H69" s="122" t="str">
        <f>IFERROR(VLOOKUP($B69,table5[],7, 0),"-")</f>
        <v>-</v>
      </c>
      <c r="I69" s="122" t="str">
        <f>IFERROR(VLOOKUP($B69,table6[],7, 0),"-")</f>
        <v>-</v>
      </c>
      <c r="J69" s="122" t="str">
        <f>IFERROR(VLOOKUP($B69,table7[],7, 0),"-")</f>
        <v>-</v>
      </c>
      <c r="K69" s="122" t="str">
        <f>IFERROR(VLOOKUP($B69,table8[],7, 0),"-")</f>
        <v>-</v>
      </c>
      <c r="L69" s="122" t="str">
        <f>IFERROR(VLOOKUP($B69,table9[],15, 0),"-")</f>
        <v>-</v>
      </c>
      <c r="M69" s="122" t="str">
        <f>IFERROR(VLOOKUP($B69,table10[],7, 0),"-")</f>
        <v>-</v>
      </c>
      <c r="N69" s="30">
        <f t="shared" si="1"/>
        <v>0</v>
      </c>
      <c r="O69" s="14"/>
    </row>
    <row r="70" spans="1:18" s="25" customFormat="1" ht="15" hidden="1" x14ac:dyDescent="0.2">
      <c r="A70" s="56">
        <v>67</v>
      </c>
      <c r="B70" s="30"/>
      <c r="C70" s="29">
        <f>IFERROR(VLOOKUP(B70,Table16[],12,FALSE),0)</f>
        <v>0</v>
      </c>
      <c r="D70" s="122" t="str">
        <f>IFERROR(VLOOKUP($B70,table1[],7, 0),"-")</f>
        <v>-</v>
      </c>
      <c r="E70" s="122" t="str">
        <f>IFERROR(VLOOKUP($B70,table2[],7, 0),"-")</f>
        <v>-</v>
      </c>
      <c r="F70" s="122" t="str">
        <f>IFERROR(VLOOKUP($B70,table3[],7, 0),"-")</f>
        <v>-</v>
      </c>
      <c r="G70" s="122" t="str">
        <f>IFERROR(VLOOKUP($B70,table4[],7, 0),"-")</f>
        <v>-</v>
      </c>
      <c r="H70" s="122" t="str">
        <f>IFERROR(VLOOKUP($B70,table5[],7, 0),"-")</f>
        <v>-</v>
      </c>
      <c r="I70" s="122" t="str">
        <f>IFERROR(VLOOKUP($B70,table6[],7, 0),"-")</f>
        <v>-</v>
      </c>
      <c r="J70" s="122" t="str">
        <f>IFERROR(VLOOKUP($B70,table7[],7, 0),"-")</f>
        <v>-</v>
      </c>
      <c r="K70" s="122" t="str">
        <f>IFERROR(VLOOKUP($B70,table8[],7, 0),"-")</f>
        <v>-</v>
      </c>
      <c r="L70" s="122" t="str">
        <f>IFERROR(VLOOKUP($B70,table9[],15, 0),"-")</f>
        <v>-</v>
      </c>
      <c r="M70" s="122" t="str">
        <f>IFERROR(VLOOKUP($B70,table10[],7, 0),"-")</f>
        <v>-</v>
      </c>
      <c r="N70" s="30">
        <f t="shared" si="1"/>
        <v>0</v>
      </c>
      <c r="O70" s="14"/>
    </row>
    <row r="71" spans="1:18" s="25" customFormat="1" ht="15" hidden="1" x14ac:dyDescent="0.2">
      <c r="A71" s="56">
        <v>68</v>
      </c>
      <c r="B71" s="30"/>
      <c r="C71" s="29">
        <f>IFERROR(VLOOKUP(B71,Table16[],12,FALSE),0)</f>
        <v>0</v>
      </c>
      <c r="D71" s="122" t="str">
        <f>IFERROR(VLOOKUP($B71,table1[],7, 0),"-")</f>
        <v>-</v>
      </c>
      <c r="E71" s="122" t="str">
        <f>IFERROR(VLOOKUP($B71,table2[],7, 0),"-")</f>
        <v>-</v>
      </c>
      <c r="F71" s="122" t="str">
        <f>IFERROR(VLOOKUP($B71,table3[],7, 0),"-")</f>
        <v>-</v>
      </c>
      <c r="G71" s="122" t="str">
        <f>IFERROR(VLOOKUP($B71,table4[],7, 0),"-")</f>
        <v>-</v>
      </c>
      <c r="H71" s="122" t="str">
        <f>IFERROR(VLOOKUP($B71,table5[],7, 0),"-")</f>
        <v>-</v>
      </c>
      <c r="I71" s="122" t="str">
        <f>IFERROR(VLOOKUP($B71,table6[],7, 0),"-")</f>
        <v>-</v>
      </c>
      <c r="J71" s="122" t="str">
        <f>IFERROR(VLOOKUP($B71,table7[],7, 0),"-")</f>
        <v>-</v>
      </c>
      <c r="K71" s="122" t="str">
        <f>IFERROR(VLOOKUP($B71,table8[],7, 0),"-")</f>
        <v>-</v>
      </c>
      <c r="L71" s="122" t="str">
        <f>IFERROR(VLOOKUP($B71,table9[],15, 0),"-")</f>
        <v>-</v>
      </c>
      <c r="M71" s="122" t="str">
        <f>IFERROR(VLOOKUP($B71,table10[],7, 0),"-")</f>
        <v>-</v>
      </c>
      <c r="N71" s="30">
        <f t="shared" si="1"/>
        <v>0</v>
      </c>
      <c r="O71" s="14"/>
    </row>
    <row r="72" spans="1:18" s="25" customFormat="1" ht="15" hidden="1" x14ac:dyDescent="0.2">
      <c r="A72" s="56">
        <v>69</v>
      </c>
      <c r="B72" s="30"/>
      <c r="C72" s="29">
        <f>IFERROR(VLOOKUP(B72,Table16[],12,FALSE),0)</f>
        <v>0</v>
      </c>
      <c r="D72" s="122" t="str">
        <f>IFERROR(VLOOKUP($B72,table1[],7, 0),"-")</f>
        <v>-</v>
      </c>
      <c r="E72" s="122" t="str">
        <f>IFERROR(VLOOKUP($B72,table2[],7, 0),"-")</f>
        <v>-</v>
      </c>
      <c r="F72" s="122" t="str">
        <f>IFERROR(VLOOKUP($B72,table3[],7, 0),"-")</f>
        <v>-</v>
      </c>
      <c r="G72" s="122" t="str">
        <f>IFERROR(VLOOKUP($B72,table4[],7, 0),"-")</f>
        <v>-</v>
      </c>
      <c r="H72" s="122" t="str">
        <f>IFERROR(VLOOKUP($B72,table5[],7, 0),"-")</f>
        <v>-</v>
      </c>
      <c r="I72" s="122" t="str">
        <f>IFERROR(VLOOKUP($B72,table6[],7, 0),"-")</f>
        <v>-</v>
      </c>
      <c r="J72" s="122" t="str">
        <f>IFERROR(VLOOKUP($B72,table7[],7, 0),"-")</f>
        <v>-</v>
      </c>
      <c r="K72" s="122" t="str">
        <f>IFERROR(VLOOKUP($B72,table8[],7, 0),"-")</f>
        <v>-</v>
      </c>
      <c r="L72" s="122" t="str">
        <f>IFERROR(VLOOKUP($B72,table9[],15, 0),"-")</f>
        <v>-</v>
      </c>
      <c r="M72" s="122" t="str">
        <f>IFERROR(VLOOKUP($B72,table10[],7, 0),"-")</f>
        <v>-</v>
      </c>
      <c r="N72" s="30">
        <f t="shared" si="1"/>
        <v>0</v>
      </c>
      <c r="O72" s="14"/>
    </row>
    <row r="73" spans="1:18" s="25" customFormat="1" ht="15" hidden="1" x14ac:dyDescent="0.2">
      <c r="A73" s="56">
        <v>70</v>
      </c>
      <c r="B73" s="30"/>
      <c r="C73" s="29">
        <f>IFERROR(VLOOKUP(B73,Table16[],12,FALSE),0)</f>
        <v>0</v>
      </c>
      <c r="D73" s="122" t="str">
        <f>IFERROR(VLOOKUP($B73,table1[],7, 0),"-")</f>
        <v>-</v>
      </c>
      <c r="E73" s="122" t="str">
        <f>IFERROR(VLOOKUP($B73,table2[],7, 0),"-")</f>
        <v>-</v>
      </c>
      <c r="F73" s="122" t="str">
        <f>IFERROR(VLOOKUP($B73,table3[],7, 0),"-")</f>
        <v>-</v>
      </c>
      <c r="G73" s="122" t="str">
        <f>IFERROR(VLOOKUP($B73,table4[],7, 0),"-")</f>
        <v>-</v>
      </c>
      <c r="H73" s="122" t="str">
        <f>IFERROR(VLOOKUP($B73,table5[],7, 0),"-")</f>
        <v>-</v>
      </c>
      <c r="I73" s="122" t="str">
        <f>IFERROR(VLOOKUP($B73,table6[],7, 0),"-")</f>
        <v>-</v>
      </c>
      <c r="J73" s="122" t="str">
        <f>IFERROR(VLOOKUP($B73,table7[],7, 0),"-")</f>
        <v>-</v>
      </c>
      <c r="K73" s="122" t="str">
        <f>IFERROR(VLOOKUP($B73,table8[],7, 0),"-")</f>
        <v>-</v>
      </c>
      <c r="L73" s="122" t="str">
        <f>IFERROR(VLOOKUP($B73,table9[],15, 0),"-")</f>
        <v>-</v>
      </c>
      <c r="M73" s="122" t="str">
        <f>IFERROR(VLOOKUP($B73,table10[],7, 0),"-")</f>
        <v>-</v>
      </c>
      <c r="N73" s="30">
        <f t="shared" si="1"/>
        <v>0</v>
      </c>
      <c r="O73" s="14"/>
    </row>
    <row r="74" spans="1:18" s="25" customFormat="1" ht="15" x14ac:dyDescent="0.2">
      <c r="A74" s="120"/>
      <c r="B74" s="120"/>
      <c r="C74" s="121"/>
      <c r="D74" s="17"/>
      <c r="E74" s="17"/>
      <c r="F74" s="17"/>
      <c r="G74" s="17"/>
      <c r="H74" s="17"/>
      <c r="I74" s="17"/>
      <c r="J74" s="19"/>
      <c r="K74" s="19"/>
      <c r="L74" s="19"/>
      <c r="M74" s="19"/>
      <c r="N74" s="17"/>
      <c r="O74" s="14"/>
    </row>
    <row r="75" spans="1:18" s="25" customFormat="1" ht="15" x14ac:dyDescent="0.2">
      <c r="A75" s="185" t="s">
        <v>185</v>
      </c>
      <c r="B75" s="185"/>
      <c r="C75" s="121"/>
      <c r="D75" s="19">
        <f>SUM('Otay 1'!C58)</f>
        <v>31</v>
      </c>
      <c r="E75" s="19">
        <f>SUM('Otay 2'!C57)</f>
        <v>29</v>
      </c>
      <c r="F75" s="19">
        <f>SUM('San V Night'!C32)</f>
        <v>27</v>
      </c>
      <c r="G75" s="19">
        <f>SUM('Otay N'!C56)</f>
        <v>31</v>
      </c>
      <c r="H75" s="19">
        <f>SUM('Lake Hodges'!C37)</f>
        <v>30</v>
      </c>
      <c r="I75" s="19">
        <f>SUM('El Cap'!C55)</f>
        <v>0</v>
      </c>
      <c r="J75" s="19">
        <f>SUM(LCR!N57)</f>
        <v>0</v>
      </c>
      <c r="K75" s="19">
        <f>SUM('El Cap 2'!C56)</f>
        <v>0</v>
      </c>
      <c r="L75" s="19">
        <f>SUM('Otay 3'!C56)</f>
        <v>0</v>
      </c>
      <c r="M75" s="19">
        <f>SUM('Otay 4'!C56)</f>
        <v>0</v>
      </c>
      <c r="N75" s="19"/>
      <c r="O75" s="14"/>
    </row>
    <row r="76" spans="1:18" s="25" customFormat="1" ht="15" x14ac:dyDescent="0.2">
      <c r="A76" s="185" t="s">
        <v>97</v>
      </c>
      <c r="B76" s="185"/>
      <c r="C76" s="121"/>
      <c r="D76" s="19">
        <f>SUM('Otay 1'!C59)</f>
        <v>109</v>
      </c>
      <c r="E76" s="19">
        <f>SUM('Otay 2'!C58)</f>
        <v>106</v>
      </c>
      <c r="F76" s="19">
        <f>SUM('San V Night'!C33)</f>
        <v>70</v>
      </c>
      <c r="G76" s="19">
        <f>SUM('Otay N'!C57)</f>
        <v>84</v>
      </c>
      <c r="H76" s="19">
        <f>SUM('Lake Hodges'!C38)</f>
        <v>23</v>
      </c>
      <c r="I76" s="19">
        <f>SUM('El Cap'!C56)</f>
        <v>0</v>
      </c>
      <c r="J76" s="19">
        <f>SUM(LCR!N58)</f>
        <v>0</v>
      </c>
      <c r="K76" s="19">
        <f>SUM('El Cap 2'!C57)</f>
        <v>0</v>
      </c>
      <c r="L76" s="19">
        <f>SUM('Otay 3'!C57)</f>
        <v>0</v>
      </c>
      <c r="M76" s="19">
        <f>SUM('Otay 4'!C57)</f>
        <v>0</v>
      </c>
      <c r="N76" s="19"/>
      <c r="O76" s="29"/>
      <c r="P76" s="26"/>
    </row>
    <row r="77" spans="1:18" s="25" customFormat="1" ht="15" x14ac:dyDescent="0.2">
      <c r="A77" s="185" t="s">
        <v>98</v>
      </c>
      <c r="B77" s="185"/>
      <c r="C77" s="121"/>
      <c r="D77" s="18">
        <f>SUM('Otay 1'!C60)</f>
        <v>225.99999999999997</v>
      </c>
      <c r="E77" s="18">
        <v>227.85499999999999</v>
      </c>
      <c r="F77" s="18">
        <f>SUM('San V Night'!C34)</f>
        <v>172.73999999999995</v>
      </c>
      <c r="G77" s="18">
        <f>SUM('Otay N'!C58)</f>
        <v>212.61999999999995</v>
      </c>
      <c r="H77" s="18">
        <f>SUM('Lake Hodges'!C39)</f>
        <v>68.789999999999992</v>
      </c>
      <c r="I77" s="18">
        <f>SUM('El Cap'!C57)</f>
        <v>0</v>
      </c>
      <c r="J77" s="18">
        <f>SUM(LCR!N59)</f>
        <v>0</v>
      </c>
      <c r="K77" s="18">
        <f>SUM('El Cap 2'!C58)</f>
        <v>0</v>
      </c>
      <c r="L77" s="18">
        <f>SUM('Otay 3'!C58)</f>
        <v>0</v>
      </c>
      <c r="M77" s="18">
        <f>SUM('Otay 4'!C58)</f>
        <v>0</v>
      </c>
      <c r="N77" s="18"/>
      <c r="O77" s="29"/>
      <c r="P77" s="26"/>
    </row>
    <row r="78" spans="1:18" s="25" customFormat="1" ht="15" x14ac:dyDescent="0.2">
      <c r="A78" s="185" t="s">
        <v>91</v>
      </c>
      <c r="B78" s="185"/>
      <c r="C78" s="121"/>
      <c r="D78" s="18">
        <f>SUM('Otay 1'!C61)</f>
        <v>2.0733944954128436</v>
      </c>
      <c r="E78" s="18">
        <v>2.5884079016221877</v>
      </c>
      <c r="F78" s="18">
        <f>SUM('San V Night'!C35)</f>
        <v>2.4677142857142851</v>
      </c>
      <c r="G78" s="18">
        <f>SUM('Otay N'!C59)</f>
        <v>2.5311904761904755</v>
      </c>
      <c r="H78" s="18">
        <f>SUM('Lake Hodges'!C40)</f>
        <v>2.9908695652173911</v>
      </c>
      <c r="I78" s="18" t="e">
        <f>SUM('El Cap'!C58)</f>
        <v>#DIV/0!</v>
      </c>
      <c r="J78" s="18" t="e">
        <f>SUM(LCR!N60)</f>
        <v>#DIV/0!</v>
      </c>
      <c r="K78" s="18" t="e">
        <f>SUM('El Cap 2'!C59)</f>
        <v>#DIV/0!</v>
      </c>
      <c r="L78" s="18" t="e">
        <f>SUM('Otay 3'!C59)</f>
        <v>#DIV/0!</v>
      </c>
      <c r="M78" s="18" t="e">
        <f>SUM('Otay 4'!C59)</f>
        <v>#DIV/0!</v>
      </c>
      <c r="N78" s="18"/>
      <c r="O78" s="29"/>
      <c r="P78" s="26"/>
      <c r="Q78" s="26"/>
      <c r="R78" s="26"/>
    </row>
    <row r="79" spans="1:18" s="25" customFormat="1" ht="15" x14ac:dyDescent="0.2">
      <c r="A79" s="185" t="s">
        <v>99</v>
      </c>
      <c r="B79" s="185"/>
      <c r="C79" s="121"/>
      <c r="D79" s="18">
        <f>SUM('Otay 1'!C62)</f>
        <v>3.5161290322580645</v>
      </c>
      <c r="E79" s="18">
        <v>3.911111111111111</v>
      </c>
      <c r="F79" s="18">
        <f>SUM('San V Night'!C36)</f>
        <v>2.5925925925925926</v>
      </c>
      <c r="G79" s="18">
        <f>SUM('Otay N'!C60)</f>
        <v>2.7096774193548385</v>
      </c>
      <c r="H79" s="18">
        <f>SUM('Lake Hodges'!C41)</f>
        <v>0.76666666666666672</v>
      </c>
      <c r="I79" s="18" t="e">
        <f>SUM('El Cap'!C59)</f>
        <v>#DIV/0!</v>
      </c>
      <c r="J79" s="18" t="e">
        <f>SUM(LCR!N61)</f>
        <v>#DIV/0!</v>
      </c>
      <c r="K79" s="18" t="e">
        <f>SUM('El Cap 2'!C60)</f>
        <v>#DIV/0!</v>
      </c>
      <c r="L79" s="18" t="e">
        <f>SUM('Otay 3'!C60)</f>
        <v>#DIV/0!</v>
      </c>
      <c r="M79" s="18" t="e">
        <f>SUM('Otay 4'!C60)</f>
        <v>#DIV/0!</v>
      </c>
      <c r="N79" s="17"/>
      <c r="O79" s="29"/>
      <c r="P79" s="26"/>
      <c r="Q79" s="26"/>
      <c r="R79" s="26"/>
    </row>
    <row r="80" spans="1:18" ht="15" x14ac:dyDescent="0.2">
      <c r="A80" s="128"/>
      <c r="B80" s="128"/>
      <c r="C80" s="121"/>
      <c r="D80" s="19"/>
      <c r="E80" s="18"/>
      <c r="F80" s="18"/>
      <c r="G80" s="18"/>
      <c r="H80" s="18"/>
      <c r="I80" s="18"/>
      <c r="J80" s="18"/>
      <c r="K80" s="18" t="s">
        <v>108</v>
      </c>
      <c r="L80" s="18"/>
      <c r="M80" s="18"/>
      <c r="N80" s="17"/>
    </row>
    <row r="81" spans="1:14" ht="15" x14ac:dyDescent="0.2">
      <c r="A81" s="185" t="s">
        <v>279</v>
      </c>
      <c r="B81" s="185"/>
      <c r="C81" s="185"/>
      <c r="D81" s="185"/>
      <c r="E81" s="185"/>
      <c r="F81" s="185"/>
      <c r="G81" s="185"/>
      <c r="H81" s="55"/>
      <c r="I81" s="18"/>
      <c r="J81" s="18"/>
      <c r="K81" s="18"/>
      <c r="L81" s="18"/>
      <c r="M81" s="18"/>
      <c r="N81" s="17"/>
    </row>
    <row r="82" spans="1:14" ht="15" x14ac:dyDescent="0.2">
      <c r="A82" s="185" t="s">
        <v>290</v>
      </c>
      <c r="B82" s="185"/>
      <c r="C82" s="185"/>
      <c r="D82" s="185"/>
      <c r="E82" s="185"/>
      <c r="F82" s="185"/>
      <c r="G82" s="185"/>
      <c r="H82" s="55"/>
      <c r="I82" s="18"/>
      <c r="J82" s="18"/>
      <c r="K82" s="18"/>
      <c r="L82" s="18"/>
      <c r="M82" s="18"/>
      <c r="N82" s="17" t="s">
        <v>108</v>
      </c>
    </row>
    <row r="83" spans="1:14" ht="15" x14ac:dyDescent="0.2">
      <c r="A83" s="185" t="s">
        <v>291</v>
      </c>
      <c r="B83" s="185"/>
      <c r="C83" s="185"/>
      <c r="D83" s="185"/>
      <c r="E83" s="185"/>
      <c r="F83" s="185"/>
      <c r="G83" s="185"/>
      <c r="H83" s="55"/>
      <c r="I83" s="18"/>
      <c r="J83" s="18"/>
      <c r="K83" s="18"/>
      <c r="L83" s="18"/>
      <c r="M83" s="18"/>
      <c r="N83" s="17"/>
    </row>
  </sheetData>
  <sortState ref="B4:N47">
    <sortCondition descending="1" ref="N4"/>
  </sortState>
  <mergeCells count="10">
    <mergeCell ref="A77:B77"/>
    <mergeCell ref="A76:B76"/>
    <mergeCell ref="A75:B75"/>
    <mergeCell ref="A2:N2"/>
    <mergeCell ref="A1:N1"/>
    <mergeCell ref="A78:B78"/>
    <mergeCell ref="A79:B79"/>
    <mergeCell ref="A81:G81"/>
    <mergeCell ref="A82:G82"/>
    <mergeCell ref="A83:G83"/>
  </mergeCells>
  <phoneticPr fontId="0" type="noConversion"/>
  <conditionalFormatting sqref="B80 B1:B2 B84:B1048576 B34:B74">
    <cfRule type="duplicateValues" dxfId="5" priority="3"/>
  </conditionalFormatting>
  <conditionalFormatting sqref="B4">
    <cfRule type="duplicateValues" dxfId="4" priority="1"/>
  </conditionalFormatting>
  <printOptions horizontalCentered="1" verticalCentered="1"/>
  <pageMargins left="0.2" right="0.2" top="0.25" bottom="0.25" header="0" footer="0"/>
  <pageSetup scale="48" orientation="landscape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B3:B73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01"/>
  <sheetViews>
    <sheetView topLeftCell="A28" zoomScaleNormal="100" workbookViewId="0">
      <selection activeCell="C2" sqref="C2"/>
    </sheetView>
  </sheetViews>
  <sheetFormatPr defaultRowHeight="20.25" x14ac:dyDescent="0.3"/>
  <cols>
    <col min="1" max="1" width="22.85546875" bestFit="1" customWidth="1"/>
    <col min="2" max="2" width="9.28515625" style="9" bestFit="1" customWidth="1"/>
    <col min="3" max="3" width="12.7109375" style="9" bestFit="1" customWidth="1"/>
    <col min="4" max="4" width="3.85546875" style="5" bestFit="1" customWidth="1"/>
    <col min="5" max="5" width="24.28515625" style="32" customWidth="1"/>
    <col min="6" max="6" width="42.5703125" style="32" customWidth="1"/>
    <col min="7" max="7" width="27" style="9" bestFit="1" customWidth="1"/>
    <col min="9" max="9" width="21.5703125" customWidth="1"/>
    <col min="13" max="13" width="9.140625" style="34"/>
  </cols>
  <sheetData>
    <row r="1" spans="1:13" s="25" customFormat="1" x14ac:dyDescent="0.3">
      <c r="B1" s="9"/>
      <c r="C1" s="9"/>
      <c r="D1" s="5"/>
      <c r="E1" s="46" t="s">
        <v>132</v>
      </c>
      <c r="F1" s="46" t="s">
        <v>134</v>
      </c>
      <c r="G1" s="46"/>
      <c r="M1" s="34"/>
    </row>
    <row r="2" spans="1:13" ht="15" x14ac:dyDescent="0.2">
      <c r="A2" s="47" t="str">
        <f t="shared" ref="A2:A33" si="0">CONCATENATE(B2," ",C2)</f>
        <v>Curtis Arneman</v>
      </c>
      <c r="B2" s="47" t="s">
        <v>114</v>
      </c>
      <c r="C2" s="47" t="s">
        <v>115</v>
      </c>
      <c r="D2"/>
      <c r="E2" s="33" t="s">
        <v>133</v>
      </c>
      <c r="F2" s="47"/>
      <c r="G2" s="47" t="s">
        <v>70</v>
      </c>
      <c r="H2" s="47" t="s">
        <v>174</v>
      </c>
      <c r="M2"/>
    </row>
    <row r="3" spans="1:13" s="25" customFormat="1" ht="15" x14ac:dyDescent="0.2">
      <c r="A3" s="47" t="str">
        <f t="shared" si="0"/>
        <v>Scott Ashley</v>
      </c>
      <c r="B3" s="47" t="s">
        <v>68</v>
      </c>
      <c r="C3" s="47" t="s">
        <v>69</v>
      </c>
      <c r="E3" s="33" t="s">
        <v>167</v>
      </c>
      <c r="F3" s="47"/>
      <c r="G3" s="47" t="s">
        <v>75</v>
      </c>
      <c r="H3" s="47" t="s">
        <v>174</v>
      </c>
    </row>
    <row r="4" spans="1:13" s="25" customFormat="1" ht="15" x14ac:dyDescent="0.2">
      <c r="A4" s="47" t="str">
        <f t="shared" si="0"/>
        <v>Mike Baird</v>
      </c>
      <c r="B4" s="47" t="s">
        <v>43</v>
      </c>
      <c r="C4" s="47" t="s">
        <v>71</v>
      </c>
      <c r="E4" s="33" t="s">
        <v>167</v>
      </c>
      <c r="F4" s="47"/>
      <c r="G4" s="47" t="s">
        <v>64</v>
      </c>
      <c r="H4" s="47" t="s">
        <v>174</v>
      </c>
    </row>
    <row r="5" spans="1:13" s="25" customFormat="1" ht="15" x14ac:dyDescent="0.2">
      <c r="A5" s="47" t="str">
        <f t="shared" si="0"/>
        <v>Brent Benish</v>
      </c>
      <c r="B5" s="47" t="s">
        <v>73</v>
      </c>
      <c r="C5" s="47" t="s">
        <v>74</v>
      </c>
      <c r="E5" s="33" t="s">
        <v>133</v>
      </c>
      <c r="F5" s="47"/>
      <c r="G5" s="47" t="s">
        <v>106</v>
      </c>
      <c r="H5" s="47" t="s">
        <v>174</v>
      </c>
    </row>
    <row r="6" spans="1:13" s="25" customFormat="1" ht="15" x14ac:dyDescent="0.2">
      <c r="A6" s="47" t="str">
        <f t="shared" si="0"/>
        <v>Buck Billock</v>
      </c>
      <c r="B6" s="47" t="s">
        <v>66</v>
      </c>
      <c r="C6" s="47" t="s">
        <v>65</v>
      </c>
      <c r="E6" s="33" t="s">
        <v>167</v>
      </c>
      <c r="F6" s="47"/>
      <c r="G6" s="47" t="s">
        <v>137</v>
      </c>
      <c r="H6" s="25" t="s">
        <v>174</v>
      </c>
    </row>
    <row r="7" spans="1:13" s="25" customFormat="1" ht="15" x14ac:dyDescent="0.2">
      <c r="A7" s="47" t="str">
        <f t="shared" si="0"/>
        <v>Cody Billock</v>
      </c>
      <c r="B7" s="47" t="s">
        <v>124</v>
      </c>
      <c r="C7" s="47" t="s">
        <v>65</v>
      </c>
      <c r="E7" s="33" t="s">
        <v>167</v>
      </c>
      <c r="F7" s="47"/>
      <c r="G7" s="47" t="s">
        <v>30</v>
      </c>
      <c r="H7" s="47" t="s">
        <v>174</v>
      </c>
    </row>
    <row r="8" spans="1:13" s="25" customFormat="1" ht="15.75" x14ac:dyDescent="0.25">
      <c r="A8" s="47" t="str">
        <f t="shared" si="0"/>
        <v>James Bogin</v>
      </c>
      <c r="B8" s="51" t="s">
        <v>138</v>
      </c>
      <c r="C8" s="51" t="s">
        <v>139</v>
      </c>
      <c r="D8" s="5"/>
      <c r="E8" s="32" t="s">
        <v>167</v>
      </c>
      <c r="F8" s="47"/>
      <c r="G8" s="47" t="s">
        <v>31</v>
      </c>
      <c r="H8" s="47" t="s">
        <v>174</v>
      </c>
    </row>
    <row r="9" spans="1:13" s="25" customFormat="1" ht="15" x14ac:dyDescent="0.2">
      <c r="A9" s="47" t="str">
        <f t="shared" si="0"/>
        <v>Bud Brant</v>
      </c>
      <c r="B9" s="47" t="s">
        <v>42</v>
      </c>
      <c r="C9" s="47" t="s">
        <v>44</v>
      </c>
      <c r="E9" s="33" t="s">
        <v>167</v>
      </c>
      <c r="F9" s="47"/>
      <c r="G9" s="47" t="s">
        <v>32</v>
      </c>
      <c r="H9" s="47" t="s">
        <v>174</v>
      </c>
    </row>
    <row r="10" spans="1:13" s="25" customFormat="1" ht="15" x14ac:dyDescent="0.2">
      <c r="A10" s="47" t="str">
        <f t="shared" si="0"/>
        <v>Josh Buller</v>
      </c>
      <c r="B10" s="51" t="s">
        <v>76</v>
      </c>
      <c r="C10" s="51" t="s">
        <v>77</v>
      </c>
      <c r="E10" s="33" t="s">
        <v>133</v>
      </c>
      <c r="F10" s="47"/>
      <c r="G10" s="47" t="s">
        <v>62</v>
      </c>
      <c r="H10" s="47" t="s">
        <v>174</v>
      </c>
    </row>
    <row r="11" spans="1:13" s="25" customFormat="1" ht="15" x14ac:dyDescent="0.2">
      <c r="A11" s="47" t="str">
        <f t="shared" si="0"/>
        <v>Cheryl Byrd</v>
      </c>
      <c r="B11" s="47" t="s">
        <v>168</v>
      </c>
      <c r="C11" s="47" t="s">
        <v>2</v>
      </c>
      <c r="E11" s="33"/>
      <c r="F11" s="47"/>
      <c r="G11" s="47" t="s">
        <v>48</v>
      </c>
      <c r="H11" s="47" t="s">
        <v>174</v>
      </c>
    </row>
    <row r="12" spans="1:13" s="25" customFormat="1" ht="15" x14ac:dyDescent="0.2">
      <c r="A12" s="47" t="str">
        <f t="shared" si="0"/>
        <v>Ed Byrd</v>
      </c>
      <c r="B12" s="47" t="s">
        <v>3</v>
      </c>
      <c r="C12" s="47" t="s">
        <v>2</v>
      </c>
      <c r="E12" s="33" t="s">
        <v>133</v>
      </c>
      <c r="F12" s="47"/>
      <c r="G12" s="47" t="s">
        <v>49</v>
      </c>
      <c r="H12" s="47" t="s">
        <v>174</v>
      </c>
    </row>
    <row r="13" spans="1:13" s="25" customFormat="1" ht="15" x14ac:dyDescent="0.2">
      <c r="A13" s="47" t="str">
        <f t="shared" si="0"/>
        <v>Jeff Carpenter</v>
      </c>
      <c r="B13" s="47" t="s">
        <v>17</v>
      </c>
      <c r="C13" s="47" t="s">
        <v>79</v>
      </c>
      <c r="E13" s="33" t="s">
        <v>133</v>
      </c>
      <c r="F13" s="47"/>
      <c r="G13" s="47" t="s">
        <v>50</v>
      </c>
      <c r="H13" s="47" t="s">
        <v>174</v>
      </c>
    </row>
    <row r="14" spans="1:13" s="25" customFormat="1" ht="15" x14ac:dyDescent="0.2">
      <c r="A14" s="47" t="str">
        <f t="shared" si="0"/>
        <v>Terry Chenowth</v>
      </c>
      <c r="B14" s="47" t="s">
        <v>6</v>
      </c>
      <c r="C14" s="47" t="s">
        <v>5</v>
      </c>
      <c r="E14" s="33" t="s">
        <v>133</v>
      </c>
      <c r="F14" s="47"/>
      <c r="G14" s="47" t="s">
        <v>51</v>
      </c>
      <c r="H14" s="47" t="s">
        <v>174</v>
      </c>
    </row>
    <row r="15" spans="1:13" s="25" customFormat="1" ht="15" x14ac:dyDescent="0.2">
      <c r="A15" s="47" t="str">
        <f t="shared" si="0"/>
        <v>Keith Cloward</v>
      </c>
      <c r="B15" s="47" t="s">
        <v>67</v>
      </c>
      <c r="C15" s="47" t="s">
        <v>63</v>
      </c>
      <c r="E15" s="33" t="s">
        <v>133</v>
      </c>
      <c r="F15" s="47"/>
      <c r="G15" s="47" t="s">
        <v>136</v>
      </c>
      <c r="H15" s="25" t="s">
        <v>174</v>
      </c>
    </row>
    <row r="16" spans="1:13" s="25" customFormat="1" ht="15" x14ac:dyDescent="0.2">
      <c r="A16" s="47" t="str">
        <f t="shared" si="0"/>
        <v>Juan Collins</v>
      </c>
      <c r="B16" s="47" t="s">
        <v>8</v>
      </c>
      <c r="C16" s="47" t="s">
        <v>7</v>
      </c>
      <c r="E16" s="33" t="s">
        <v>133</v>
      </c>
      <c r="F16" s="47"/>
      <c r="G16" s="47" t="s">
        <v>107</v>
      </c>
      <c r="H16" s="47" t="s">
        <v>174</v>
      </c>
    </row>
    <row r="17" spans="1:8" s="25" customFormat="1" ht="15" x14ac:dyDescent="0.2">
      <c r="A17" s="47" t="str">
        <f t="shared" si="0"/>
        <v>Joe DeSalvo</v>
      </c>
      <c r="B17" s="47" t="s">
        <v>4</v>
      </c>
      <c r="C17" s="47" t="s">
        <v>116</v>
      </c>
      <c r="E17" s="33" t="s">
        <v>167</v>
      </c>
      <c r="F17" s="47"/>
      <c r="G17" s="47" t="s">
        <v>33</v>
      </c>
      <c r="H17" s="47" t="s">
        <v>174</v>
      </c>
    </row>
    <row r="18" spans="1:8" s="25" customFormat="1" ht="15" x14ac:dyDescent="0.2">
      <c r="A18" s="47" t="str">
        <f t="shared" si="0"/>
        <v>Cesar Diosdado</v>
      </c>
      <c r="B18" s="47" t="s">
        <v>11</v>
      </c>
      <c r="C18" s="47" t="s">
        <v>10</v>
      </c>
      <c r="E18" s="33" t="s">
        <v>167</v>
      </c>
      <c r="F18" s="47"/>
      <c r="G18" s="47" t="s">
        <v>129</v>
      </c>
      <c r="H18" s="47" t="s">
        <v>174</v>
      </c>
    </row>
    <row r="19" spans="1:8" s="25" customFormat="1" ht="15" x14ac:dyDescent="0.2">
      <c r="A19" s="47" t="str">
        <f t="shared" si="0"/>
        <v>Adam East</v>
      </c>
      <c r="B19" s="47" t="s">
        <v>149</v>
      </c>
      <c r="C19" s="47" t="s">
        <v>150</v>
      </c>
      <c r="E19" s="33" t="s">
        <v>167</v>
      </c>
      <c r="F19" s="47"/>
      <c r="G19" s="47" t="s">
        <v>96</v>
      </c>
      <c r="H19" s="47" t="s">
        <v>174</v>
      </c>
    </row>
    <row r="20" spans="1:8" s="25" customFormat="1" ht="15" x14ac:dyDescent="0.2">
      <c r="A20" s="47" t="str">
        <f t="shared" si="0"/>
        <v>Janice Eisner</v>
      </c>
      <c r="B20" s="47" t="s">
        <v>27</v>
      </c>
      <c r="C20" s="47" t="s">
        <v>26</v>
      </c>
      <c r="E20" s="33" t="s">
        <v>167</v>
      </c>
      <c r="F20" s="47"/>
      <c r="G20" s="47" t="s">
        <v>130</v>
      </c>
      <c r="H20" s="47" t="s">
        <v>174</v>
      </c>
    </row>
    <row r="21" spans="1:8" s="25" customFormat="1" ht="15" x14ac:dyDescent="0.2">
      <c r="A21" s="47" t="str">
        <f t="shared" si="0"/>
        <v>Gene Estabrook</v>
      </c>
      <c r="B21" s="47" t="s">
        <v>117</v>
      </c>
      <c r="C21" s="47" t="s">
        <v>118</v>
      </c>
      <c r="E21" s="33" t="s">
        <v>133</v>
      </c>
      <c r="F21" s="47"/>
      <c r="G21" s="47" t="s">
        <v>163</v>
      </c>
      <c r="H21" s="47" t="s">
        <v>174</v>
      </c>
    </row>
    <row r="22" spans="1:8" s="25" customFormat="1" ht="15.75" x14ac:dyDescent="0.25">
      <c r="A22" s="47" t="str">
        <f t="shared" si="0"/>
        <v>Bobby Foreman</v>
      </c>
      <c r="B22" s="51" t="s">
        <v>140</v>
      </c>
      <c r="C22" s="51" t="s">
        <v>131</v>
      </c>
      <c r="D22" s="5"/>
      <c r="E22" s="32" t="s">
        <v>167</v>
      </c>
      <c r="F22" s="47"/>
      <c r="G22" s="47" t="s">
        <v>145</v>
      </c>
      <c r="H22" s="47" t="s">
        <v>174</v>
      </c>
    </row>
    <row r="23" spans="1:8" s="25" customFormat="1" ht="15" x14ac:dyDescent="0.2">
      <c r="A23" s="47" t="str">
        <f t="shared" si="0"/>
        <v>Terry Foreman</v>
      </c>
      <c r="B23" s="47" t="s">
        <v>6</v>
      </c>
      <c r="C23" s="47" t="s">
        <v>131</v>
      </c>
      <c r="E23" s="33" t="s">
        <v>133</v>
      </c>
      <c r="F23" s="47"/>
      <c r="G23" s="47" t="s">
        <v>34</v>
      </c>
      <c r="H23" s="47" t="s">
        <v>174</v>
      </c>
    </row>
    <row r="24" spans="1:8" s="25" customFormat="1" ht="15" x14ac:dyDescent="0.2">
      <c r="A24" s="47" t="str">
        <f t="shared" si="0"/>
        <v>Greg Gardner</v>
      </c>
      <c r="B24" s="47" t="s">
        <v>13</v>
      </c>
      <c r="C24" s="47" t="s">
        <v>12</v>
      </c>
      <c r="E24" s="33" t="s">
        <v>133</v>
      </c>
      <c r="F24" s="47"/>
      <c r="G24" s="47" t="s">
        <v>35</v>
      </c>
      <c r="H24" s="47" t="s">
        <v>174</v>
      </c>
    </row>
    <row r="25" spans="1:8" s="25" customFormat="1" ht="15" x14ac:dyDescent="0.2">
      <c r="A25" s="47" t="str">
        <f t="shared" si="0"/>
        <v>Zoé Gardner</v>
      </c>
      <c r="B25" s="47" t="s">
        <v>57</v>
      </c>
      <c r="C25" s="47" t="s">
        <v>12</v>
      </c>
      <c r="E25" s="33" t="s">
        <v>133</v>
      </c>
      <c r="F25" s="47"/>
      <c r="G25" s="47" t="s">
        <v>82</v>
      </c>
      <c r="H25" s="47" t="s">
        <v>174</v>
      </c>
    </row>
    <row r="26" spans="1:8" s="25" customFormat="1" ht="15" x14ac:dyDescent="0.2">
      <c r="A26" s="47" t="str">
        <f t="shared" si="0"/>
        <v>Boomer Glasner</v>
      </c>
      <c r="B26" s="47" t="s">
        <v>151</v>
      </c>
      <c r="C26" s="47" t="s">
        <v>152</v>
      </c>
      <c r="E26" s="33" t="s">
        <v>133</v>
      </c>
      <c r="F26" s="47"/>
      <c r="G26" s="47" t="s">
        <v>53</v>
      </c>
      <c r="H26" s="47" t="s">
        <v>174</v>
      </c>
    </row>
    <row r="27" spans="1:8" s="25" customFormat="1" ht="15" x14ac:dyDescent="0.2">
      <c r="A27" s="47" t="str">
        <f t="shared" si="0"/>
        <v>Ernie Guillen</v>
      </c>
      <c r="B27" s="47" t="s">
        <v>127</v>
      </c>
      <c r="C27" s="47" t="s">
        <v>128</v>
      </c>
      <c r="E27" s="33" t="s">
        <v>167</v>
      </c>
      <c r="F27" s="47"/>
      <c r="G27" s="47" t="s">
        <v>105</v>
      </c>
      <c r="H27" s="47" t="s">
        <v>174</v>
      </c>
    </row>
    <row r="28" spans="1:8" s="25" customFormat="1" ht="15" x14ac:dyDescent="0.2">
      <c r="A28" s="47" t="str">
        <f t="shared" si="0"/>
        <v>Sonny Hale</v>
      </c>
      <c r="B28" s="47" t="s">
        <v>100</v>
      </c>
      <c r="C28" s="47" t="s">
        <v>95</v>
      </c>
      <c r="E28" s="33" t="s">
        <v>167</v>
      </c>
      <c r="F28" s="47"/>
      <c r="G28" s="47" t="s">
        <v>146</v>
      </c>
      <c r="H28" s="47" t="s">
        <v>174</v>
      </c>
    </row>
    <row r="29" spans="1:8" s="25" customFormat="1" ht="15" x14ac:dyDescent="0.2">
      <c r="A29" s="47" t="str">
        <f t="shared" si="0"/>
        <v>Bart Hegeler</v>
      </c>
      <c r="B29" s="47" t="s">
        <v>125</v>
      </c>
      <c r="C29" s="47" t="s">
        <v>126</v>
      </c>
      <c r="E29" s="33" t="s">
        <v>133</v>
      </c>
      <c r="F29" s="47"/>
      <c r="G29" s="47" t="s">
        <v>84</v>
      </c>
      <c r="H29" s="47" t="s">
        <v>174</v>
      </c>
    </row>
    <row r="30" spans="1:8" s="25" customFormat="1" ht="15.75" x14ac:dyDescent="0.25">
      <c r="A30" s="47" t="str">
        <f t="shared" si="0"/>
        <v>Barton Hegeler</v>
      </c>
      <c r="B30" s="51" t="s">
        <v>162</v>
      </c>
      <c r="C30" s="51" t="s">
        <v>126</v>
      </c>
      <c r="D30" s="5"/>
      <c r="E30" s="33" t="s">
        <v>133</v>
      </c>
      <c r="F30" s="47"/>
      <c r="G30" s="47" t="s">
        <v>36</v>
      </c>
      <c r="H30" s="47" t="s">
        <v>174</v>
      </c>
    </row>
    <row r="31" spans="1:8" s="25" customFormat="1" ht="15" x14ac:dyDescent="0.2">
      <c r="A31" s="47" t="str">
        <f t="shared" si="0"/>
        <v>Brent Kearney</v>
      </c>
      <c r="B31" s="47" t="s">
        <v>73</v>
      </c>
      <c r="C31" s="47" t="s">
        <v>153</v>
      </c>
      <c r="E31" s="33" t="s">
        <v>133</v>
      </c>
      <c r="F31" s="47"/>
      <c r="G31" s="47" t="s">
        <v>172</v>
      </c>
      <c r="H31" s="47" t="s">
        <v>174</v>
      </c>
    </row>
    <row r="32" spans="1:8" s="25" customFormat="1" ht="15" x14ac:dyDescent="0.2">
      <c r="A32" s="47" t="str">
        <f t="shared" si="0"/>
        <v>Stu Kenson</v>
      </c>
      <c r="B32" s="47" t="s">
        <v>15</v>
      </c>
      <c r="C32" s="47" t="s">
        <v>14</v>
      </c>
      <c r="E32" s="33" t="s">
        <v>167</v>
      </c>
      <c r="F32" s="47"/>
      <c r="G32" s="47" t="s">
        <v>141</v>
      </c>
      <c r="H32" s="47" t="s">
        <v>174</v>
      </c>
    </row>
    <row r="33" spans="1:8" s="25" customFormat="1" ht="15" x14ac:dyDescent="0.2">
      <c r="A33" s="47" t="str">
        <f t="shared" si="0"/>
        <v>Randy Kreiser</v>
      </c>
      <c r="B33" s="47" t="s">
        <v>24</v>
      </c>
      <c r="C33" s="47" t="s">
        <v>23</v>
      </c>
      <c r="E33" s="33" t="s">
        <v>133</v>
      </c>
      <c r="F33" s="47"/>
      <c r="G33" s="47" t="s">
        <v>148</v>
      </c>
      <c r="H33" s="47" t="s">
        <v>174</v>
      </c>
    </row>
    <row r="34" spans="1:8" s="25" customFormat="1" ht="15" x14ac:dyDescent="0.2">
      <c r="A34" s="47" t="str">
        <f t="shared" ref="A34:A53" si="1">CONCATENATE(B34," ",C34)</f>
        <v>Inder Lopez</v>
      </c>
      <c r="B34" s="47" t="s">
        <v>29</v>
      </c>
      <c r="C34" s="47" t="s">
        <v>28</v>
      </c>
      <c r="E34" s="33" t="s">
        <v>167</v>
      </c>
      <c r="F34" s="47"/>
      <c r="G34" s="47" t="s">
        <v>142</v>
      </c>
      <c r="H34" s="47" t="s">
        <v>174</v>
      </c>
    </row>
    <row r="35" spans="1:8" s="25" customFormat="1" ht="15" x14ac:dyDescent="0.2">
      <c r="A35" s="47" t="str">
        <f t="shared" si="1"/>
        <v>Ken Louis</v>
      </c>
      <c r="B35" s="47" t="s">
        <v>154</v>
      </c>
      <c r="C35" s="47" t="s">
        <v>155</v>
      </c>
      <c r="E35" s="33" t="s">
        <v>133</v>
      </c>
      <c r="F35" s="47"/>
      <c r="G35" s="47" t="s">
        <v>54</v>
      </c>
      <c r="H35" s="47" t="s">
        <v>174</v>
      </c>
    </row>
    <row r="36" spans="1:8" s="25" customFormat="1" ht="15" x14ac:dyDescent="0.2">
      <c r="A36" s="47" t="str">
        <f t="shared" si="1"/>
        <v>Mike Lupo</v>
      </c>
      <c r="B36" s="47" t="s">
        <v>43</v>
      </c>
      <c r="C36" s="47" t="s">
        <v>81</v>
      </c>
      <c r="E36" s="33" t="s">
        <v>133</v>
      </c>
      <c r="F36" s="47"/>
      <c r="G36" s="47" t="s">
        <v>170</v>
      </c>
      <c r="H36" s="25" t="s">
        <v>174</v>
      </c>
    </row>
    <row r="37" spans="1:8" s="25" customFormat="1" ht="15" x14ac:dyDescent="0.2">
      <c r="A37" s="47" t="str">
        <f t="shared" si="1"/>
        <v>Ed Marr</v>
      </c>
      <c r="B37" s="47" t="s">
        <v>3</v>
      </c>
      <c r="C37" s="47" t="s">
        <v>18</v>
      </c>
      <c r="E37" s="33" t="s">
        <v>167</v>
      </c>
      <c r="F37" s="47"/>
      <c r="G37" s="47" t="s">
        <v>171</v>
      </c>
      <c r="H37" s="25" t="s">
        <v>174</v>
      </c>
    </row>
    <row r="38" spans="1:8" s="25" customFormat="1" ht="15" x14ac:dyDescent="0.2">
      <c r="A38" s="47" t="str">
        <f t="shared" si="1"/>
        <v>Nick Meyer</v>
      </c>
      <c r="B38" s="47" t="s">
        <v>120</v>
      </c>
      <c r="C38" s="47" t="s">
        <v>121</v>
      </c>
      <c r="E38" s="33" t="s">
        <v>133</v>
      </c>
      <c r="F38" s="47"/>
      <c r="G38" s="47" t="s">
        <v>112</v>
      </c>
    </row>
    <row r="39" spans="1:8" s="25" customFormat="1" ht="15" x14ac:dyDescent="0.2">
      <c r="A39" s="47" t="str">
        <f t="shared" si="1"/>
        <v>Frank Morrin</v>
      </c>
      <c r="B39" s="47" t="s">
        <v>19</v>
      </c>
      <c r="C39" s="47" t="s">
        <v>156</v>
      </c>
      <c r="E39" s="33" t="s">
        <v>133</v>
      </c>
      <c r="F39" s="47"/>
      <c r="G39" s="47" t="s">
        <v>72</v>
      </c>
    </row>
    <row r="40" spans="1:8" s="25" customFormat="1" ht="15" x14ac:dyDescent="0.2">
      <c r="A40" s="47" t="str">
        <f t="shared" si="1"/>
        <v>Frank Neugebauer</v>
      </c>
      <c r="B40" s="47" t="s">
        <v>19</v>
      </c>
      <c r="C40" s="47" t="s">
        <v>83</v>
      </c>
      <c r="E40" s="33" t="s">
        <v>133</v>
      </c>
      <c r="F40" s="47"/>
      <c r="G40" s="47" t="s">
        <v>78</v>
      </c>
    </row>
    <row r="41" spans="1:8" s="25" customFormat="1" ht="15" x14ac:dyDescent="0.2">
      <c r="A41" s="47" t="str">
        <f t="shared" si="1"/>
        <v>Ron Overman</v>
      </c>
      <c r="B41" s="47" t="s">
        <v>40</v>
      </c>
      <c r="C41" s="47" t="s">
        <v>41</v>
      </c>
      <c r="E41" s="33" t="s">
        <v>133</v>
      </c>
      <c r="F41" s="47"/>
      <c r="G41" s="47" t="s">
        <v>164</v>
      </c>
    </row>
    <row r="42" spans="1:8" s="25" customFormat="1" ht="15" x14ac:dyDescent="0.2">
      <c r="A42" s="47" t="str">
        <f t="shared" si="1"/>
        <v>Dave Patrick</v>
      </c>
      <c r="B42" s="47" t="s">
        <v>16</v>
      </c>
      <c r="C42" s="47" t="s">
        <v>45</v>
      </c>
      <c r="E42" s="33" t="s">
        <v>133</v>
      </c>
      <c r="F42" s="47"/>
      <c r="G42" s="47" t="s">
        <v>80</v>
      </c>
    </row>
    <row r="43" spans="1:8" s="25" customFormat="1" ht="15" x14ac:dyDescent="0.2">
      <c r="A43" s="47" t="str">
        <f t="shared" si="1"/>
        <v>Jim Putney</v>
      </c>
      <c r="B43" s="47" t="s">
        <v>9</v>
      </c>
      <c r="C43" s="47" t="s">
        <v>38</v>
      </c>
      <c r="E43" s="33" t="s">
        <v>167</v>
      </c>
      <c r="F43" s="47"/>
      <c r="G43" s="47" t="s">
        <v>104</v>
      </c>
    </row>
    <row r="44" spans="1:8" s="25" customFormat="1" ht="15" x14ac:dyDescent="0.2">
      <c r="A44" s="47" t="str">
        <f t="shared" si="1"/>
        <v>Jim Robinson</v>
      </c>
      <c r="B44" s="47" t="s">
        <v>9</v>
      </c>
      <c r="C44" s="47" t="s">
        <v>157</v>
      </c>
      <c r="E44" s="33" t="s">
        <v>133</v>
      </c>
      <c r="F44" s="47"/>
      <c r="G44" s="47" t="s">
        <v>109</v>
      </c>
    </row>
    <row r="45" spans="1:8" s="25" customFormat="1" ht="15" x14ac:dyDescent="0.2">
      <c r="A45" s="47" t="str">
        <f t="shared" si="1"/>
        <v>Dave Seaberg</v>
      </c>
      <c r="B45" s="47" t="s">
        <v>16</v>
      </c>
      <c r="C45" s="47" t="s">
        <v>101</v>
      </c>
      <c r="E45" s="33" t="s">
        <v>167</v>
      </c>
      <c r="F45" s="47"/>
      <c r="G45" s="47" t="s">
        <v>56</v>
      </c>
    </row>
    <row r="46" spans="1:8" s="25" customFormat="1" ht="15.75" x14ac:dyDescent="0.25">
      <c r="A46" s="47" t="str">
        <f t="shared" si="1"/>
        <v>Gina Seaberg</v>
      </c>
      <c r="B46" s="51" t="s">
        <v>161</v>
      </c>
      <c r="C46" s="51" t="s">
        <v>101</v>
      </c>
      <c r="D46" s="5"/>
      <c r="E46" s="32" t="s">
        <v>133</v>
      </c>
      <c r="F46" s="47"/>
      <c r="G46" s="47" t="s">
        <v>169</v>
      </c>
    </row>
    <row r="47" spans="1:8" s="25" customFormat="1" ht="15" x14ac:dyDescent="0.2">
      <c r="A47" s="47" t="str">
        <f t="shared" si="1"/>
        <v>Jim Sleight</v>
      </c>
      <c r="B47" s="47" t="s">
        <v>9</v>
      </c>
      <c r="C47" s="47" t="s">
        <v>158</v>
      </c>
      <c r="E47" s="32" t="s">
        <v>133</v>
      </c>
      <c r="F47" s="47"/>
      <c r="G47" s="47" t="s">
        <v>52</v>
      </c>
    </row>
    <row r="48" spans="1:8" s="25" customFormat="1" ht="15" x14ac:dyDescent="0.2">
      <c r="A48" s="47" t="str">
        <f t="shared" si="1"/>
        <v>Micah Spence</v>
      </c>
      <c r="B48" s="47" t="s">
        <v>159</v>
      </c>
      <c r="C48" s="47" t="s">
        <v>160</v>
      </c>
      <c r="E48" s="32" t="s">
        <v>167</v>
      </c>
      <c r="F48" s="47"/>
      <c r="G48" s="47" t="s">
        <v>119</v>
      </c>
    </row>
    <row r="49" spans="1:13" s="25" customFormat="1" ht="15" x14ac:dyDescent="0.2">
      <c r="A49" s="47" t="str">
        <f t="shared" si="1"/>
        <v>Steve Swaggerty</v>
      </c>
      <c r="B49" s="47" t="s">
        <v>94</v>
      </c>
      <c r="C49" s="47" t="s">
        <v>123</v>
      </c>
      <c r="E49" s="32" t="s">
        <v>167</v>
      </c>
      <c r="F49" s="47"/>
      <c r="G49" s="47" t="s">
        <v>39</v>
      </c>
    </row>
    <row r="50" spans="1:13" s="25" customFormat="1" ht="15" x14ac:dyDescent="0.2">
      <c r="A50" s="47" t="str">
        <f t="shared" si="1"/>
        <v>Sean Swales</v>
      </c>
      <c r="B50" s="47" t="s">
        <v>143</v>
      </c>
      <c r="C50" s="47" t="s">
        <v>144</v>
      </c>
      <c r="E50" s="32" t="s">
        <v>133</v>
      </c>
      <c r="F50" s="47"/>
      <c r="G50" s="47" t="s">
        <v>102</v>
      </c>
    </row>
    <row r="51" spans="1:13" s="25" customFormat="1" ht="15" x14ac:dyDescent="0.2">
      <c r="A51" s="47" t="str">
        <f t="shared" si="1"/>
        <v>Ryan Test</v>
      </c>
      <c r="B51" s="47" t="s">
        <v>85</v>
      </c>
      <c r="C51" s="47" t="s">
        <v>86</v>
      </c>
      <c r="E51" s="32" t="s">
        <v>133</v>
      </c>
      <c r="F51" s="47"/>
      <c r="G51" s="47" t="s">
        <v>173</v>
      </c>
    </row>
    <row r="52" spans="1:13" s="25" customFormat="1" ht="15" x14ac:dyDescent="0.2">
      <c r="A52" s="47" t="str">
        <f t="shared" si="1"/>
        <v>Larry Ward</v>
      </c>
      <c r="B52" s="47" t="s">
        <v>46</v>
      </c>
      <c r="C52" s="47" t="s">
        <v>47</v>
      </c>
      <c r="E52" s="32" t="s">
        <v>133</v>
      </c>
      <c r="F52" s="47"/>
      <c r="G52" s="47" t="s">
        <v>147</v>
      </c>
    </row>
    <row r="53" spans="1:13" s="25" customFormat="1" ht="15" x14ac:dyDescent="0.2">
      <c r="A53" s="47" t="str">
        <f t="shared" si="1"/>
        <v>Skip Whitworth</v>
      </c>
      <c r="B53" s="47" t="s">
        <v>21</v>
      </c>
      <c r="C53" s="47" t="s">
        <v>20</v>
      </c>
      <c r="E53" s="32" t="s">
        <v>133</v>
      </c>
      <c r="F53" s="47"/>
      <c r="G53" s="47" t="s">
        <v>122</v>
      </c>
    </row>
    <row r="54" spans="1:13" s="25" customFormat="1" ht="15" x14ac:dyDescent="0.2">
      <c r="A54" s="10"/>
      <c r="B54" s="51"/>
      <c r="C54" s="51"/>
      <c r="D54" s="26"/>
      <c r="E54" s="33"/>
      <c r="F54" s="47"/>
      <c r="G54" s="47" t="s">
        <v>87</v>
      </c>
    </row>
    <row r="55" spans="1:13" s="25" customFormat="1" ht="15" customHeight="1" x14ac:dyDescent="0.2">
      <c r="A55" s="10"/>
      <c r="B55" s="51"/>
      <c r="C55" s="51"/>
      <c r="D55" s="26"/>
      <c r="E55" s="33"/>
      <c r="F55" s="47"/>
      <c r="G55" s="47" t="s">
        <v>55</v>
      </c>
    </row>
    <row r="56" spans="1:13" ht="15" customHeight="1" x14ac:dyDescent="0.3">
      <c r="A56" s="10"/>
      <c r="B56" s="51"/>
      <c r="C56" s="51"/>
      <c r="D56" s="26"/>
      <c r="E56" s="33"/>
      <c r="F56" s="47"/>
    </row>
    <row r="57" spans="1:13" ht="15" customHeight="1" x14ac:dyDescent="0.3">
      <c r="A57" s="10"/>
      <c r="B57" s="51"/>
      <c r="C57" s="51"/>
      <c r="D57" s="26"/>
      <c r="E57" s="33"/>
      <c r="F57" s="11"/>
    </row>
    <row r="58" spans="1:13" ht="15" customHeight="1" x14ac:dyDescent="0.3">
      <c r="A58" s="10"/>
      <c r="B58" s="51"/>
      <c r="C58" s="51"/>
      <c r="D58" s="26"/>
      <c r="E58" s="33"/>
      <c r="F58"/>
      <c r="G58"/>
      <c r="H58" s="34"/>
      <c r="M58"/>
    </row>
    <row r="59" spans="1:13" ht="15" customHeight="1" x14ac:dyDescent="0.3">
      <c r="A59" s="10"/>
      <c r="B59" s="51"/>
      <c r="C59" s="51"/>
      <c r="D59" s="26"/>
      <c r="E59" s="33"/>
      <c r="F59" s="33"/>
    </row>
    <row r="60" spans="1:13" ht="15" customHeight="1" x14ac:dyDescent="0.3">
      <c r="A60" s="10"/>
      <c r="B60" s="51"/>
      <c r="C60" s="51"/>
      <c r="D60" s="26"/>
      <c r="E60" s="33"/>
      <c r="F60" s="33"/>
    </row>
    <row r="61" spans="1:13" ht="15" customHeight="1" x14ac:dyDescent="0.3">
      <c r="A61" s="10"/>
      <c r="B61" s="51"/>
      <c r="C61" s="51"/>
      <c r="D61" s="26"/>
      <c r="E61" s="33"/>
      <c r="F61"/>
      <c r="G61"/>
      <c r="H61" s="34"/>
      <c r="M61"/>
    </row>
    <row r="62" spans="1:13" ht="15" customHeight="1" x14ac:dyDescent="0.3">
      <c r="A62" s="10"/>
      <c r="B62" s="51"/>
      <c r="C62" s="51"/>
      <c r="D62" s="26"/>
      <c r="E62" s="33"/>
      <c r="F62" s="33"/>
    </row>
    <row r="63" spans="1:13" ht="15" customHeight="1" x14ac:dyDescent="0.3">
      <c r="A63" s="10"/>
      <c r="B63" s="51"/>
      <c r="C63" s="51"/>
      <c r="D63" s="26"/>
      <c r="E63" s="33"/>
      <c r="F63" s="33"/>
    </row>
    <row r="64" spans="1:13" ht="15" customHeight="1" x14ac:dyDescent="0.3">
      <c r="A64" s="10"/>
      <c r="B64" s="51"/>
      <c r="C64" s="51"/>
      <c r="D64" s="26"/>
      <c r="E64" s="33"/>
      <c r="F64" s="33"/>
    </row>
    <row r="65" spans="1:6" ht="15" customHeight="1" x14ac:dyDescent="0.3">
      <c r="A65" s="10"/>
      <c r="B65" s="51"/>
      <c r="C65" s="51"/>
      <c r="D65" s="26"/>
      <c r="E65" s="33"/>
      <c r="F65" s="33"/>
    </row>
    <row r="66" spans="1:6" ht="15" customHeight="1" x14ac:dyDescent="0.3">
      <c r="A66" s="10"/>
      <c r="B66" s="51"/>
      <c r="C66" s="51"/>
      <c r="D66" s="26"/>
      <c r="E66" s="33"/>
      <c r="F66" s="33"/>
    </row>
    <row r="67" spans="1:6" ht="15" customHeight="1" x14ac:dyDescent="0.3">
      <c r="A67" s="10"/>
      <c r="B67" s="51"/>
      <c r="C67" s="51"/>
      <c r="D67" s="26"/>
      <c r="E67" s="33"/>
      <c r="F67" s="33"/>
    </row>
    <row r="68" spans="1:6" ht="15" customHeight="1" x14ac:dyDescent="0.3">
      <c r="A68" s="10"/>
      <c r="B68" s="51"/>
      <c r="C68" s="51"/>
      <c r="D68" s="26"/>
      <c r="E68" s="33"/>
      <c r="F68" s="33"/>
    </row>
    <row r="69" spans="1:6" ht="15" customHeight="1" x14ac:dyDescent="0.3">
      <c r="A69" s="10"/>
      <c r="B69" s="51"/>
      <c r="C69" s="51"/>
      <c r="D69" s="26"/>
      <c r="E69" s="33"/>
      <c r="F69" s="33"/>
    </row>
    <row r="70" spans="1:6" ht="15" customHeight="1" x14ac:dyDescent="0.3">
      <c r="A70" s="10"/>
      <c r="B70" s="51"/>
      <c r="C70" s="51"/>
      <c r="D70" s="26"/>
      <c r="E70" s="33"/>
      <c r="F70" s="33"/>
    </row>
    <row r="71" spans="1:6" ht="15" customHeight="1" x14ac:dyDescent="0.3">
      <c r="A71" s="10"/>
      <c r="B71" s="51"/>
      <c r="C71" s="51"/>
      <c r="D71" s="26"/>
      <c r="E71" s="33"/>
      <c r="F71" s="33"/>
    </row>
    <row r="72" spans="1:6" ht="15" customHeight="1" x14ac:dyDescent="0.3">
      <c r="A72" s="10"/>
      <c r="B72" s="51"/>
      <c r="C72" s="51"/>
      <c r="D72" s="26"/>
      <c r="E72" s="33"/>
      <c r="F72" s="33"/>
    </row>
    <row r="73" spans="1:6" ht="15" customHeight="1" x14ac:dyDescent="0.3">
      <c r="A73" s="10"/>
      <c r="B73" s="51"/>
      <c r="C73" s="51"/>
      <c r="D73" s="26"/>
      <c r="E73" s="33"/>
      <c r="F73" s="33"/>
    </row>
    <row r="74" spans="1:6" ht="15" customHeight="1" x14ac:dyDescent="0.3">
      <c r="A74" s="10"/>
      <c r="B74" s="51"/>
      <c r="C74" s="51"/>
      <c r="D74" s="26"/>
      <c r="E74" s="33"/>
      <c r="F74" s="33"/>
    </row>
    <row r="75" spans="1:6" ht="15" customHeight="1" x14ac:dyDescent="0.3">
      <c r="A75" s="10"/>
      <c r="B75" s="51"/>
      <c r="C75" s="51"/>
      <c r="D75" s="26"/>
      <c r="E75" s="33"/>
      <c r="F75" s="33"/>
    </row>
    <row r="76" spans="1:6" ht="15" customHeight="1" x14ac:dyDescent="0.3">
      <c r="A76" s="10"/>
      <c r="B76" s="51"/>
      <c r="C76" s="51"/>
      <c r="D76" s="26"/>
      <c r="E76" s="33"/>
      <c r="F76" s="33"/>
    </row>
    <row r="77" spans="1:6" ht="15" customHeight="1" x14ac:dyDescent="0.3">
      <c r="A77" s="10"/>
      <c r="B77" s="51"/>
      <c r="C77" s="51"/>
      <c r="D77" s="26"/>
      <c r="E77" s="33"/>
      <c r="F77" s="33"/>
    </row>
    <row r="78" spans="1:6" ht="15" customHeight="1" x14ac:dyDescent="0.3">
      <c r="A78" s="10"/>
      <c r="B78" s="51"/>
      <c r="C78" s="51"/>
      <c r="D78" s="26"/>
      <c r="E78" s="33"/>
      <c r="F78" s="33"/>
    </row>
    <row r="79" spans="1:6" ht="15" customHeight="1" x14ac:dyDescent="0.3">
      <c r="A79" s="10"/>
      <c r="B79" s="51"/>
      <c r="C79" s="51"/>
      <c r="D79" s="26"/>
      <c r="E79" s="33"/>
      <c r="F79" s="33"/>
    </row>
    <row r="80" spans="1:6" ht="15" customHeight="1" x14ac:dyDescent="0.3">
      <c r="A80" s="10"/>
      <c r="B80" s="51"/>
      <c r="C80" s="51"/>
      <c r="D80" s="26"/>
      <c r="E80" s="33"/>
      <c r="F80" s="33"/>
    </row>
    <row r="81" spans="1:6" ht="15" customHeight="1" x14ac:dyDescent="0.3">
      <c r="A81" s="10"/>
      <c r="B81" s="51"/>
      <c r="C81" s="51"/>
      <c r="D81" s="26"/>
      <c r="E81" s="33"/>
      <c r="F81" s="33"/>
    </row>
    <row r="82" spans="1:6" ht="15" customHeight="1" x14ac:dyDescent="0.3">
      <c r="A82" s="10"/>
      <c r="B82" s="51"/>
      <c r="C82" s="51"/>
      <c r="D82" s="26"/>
      <c r="E82" s="33"/>
      <c r="F82" s="33"/>
    </row>
    <row r="83" spans="1:6" ht="15" customHeight="1" x14ac:dyDescent="0.3">
      <c r="F83" s="33"/>
    </row>
    <row r="84" spans="1:6" ht="15" customHeight="1" x14ac:dyDescent="0.3">
      <c r="F84" s="33"/>
    </row>
    <row r="85" spans="1:6" ht="15" customHeight="1" x14ac:dyDescent="0.3">
      <c r="F85" s="33"/>
    </row>
    <row r="86" spans="1:6" ht="15" customHeight="1" x14ac:dyDescent="0.3">
      <c r="F86" s="33"/>
    </row>
    <row r="87" spans="1:6" ht="15" customHeight="1" x14ac:dyDescent="0.3">
      <c r="F87" s="33"/>
    </row>
    <row r="88" spans="1:6" ht="15" customHeight="1" x14ac:dyDescent="0.3">
      <c r="F88" s="33"/>
    </row>
    <row r="89" spans="1:6" ht="15" customHeight="1" x14ac:dyDescent="0.3">
      <c r="F89" s="33"/>
    </row>
    <row r="90" spans="1:6" ht="15" customHeight="1" x14ac:dyDescent="0.3">
      <c r="F90" s="33"/>
    </row>
    <row r="91" spans="1:6" ht="15" customHeight="1" x14ac:dyDescent="0.3"/>
    <row r="92" spans="1:6" ht="15" customHeight="1" x14ac:dyDescent="0.3"/>
    <row r="93" spans="1:6" ht="15" customHeight="1" x14ac:dyDescent="0.3"/>
    <row r="94" spans="1:6" ht="15" customHeight="1" x14ac:dyDescent="0.3"/>
    <row r="95" spans="1:6" ht="15" customHeight="1" x14ac:dyDescent="0.3"/>
    <row r="96" spans="1: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</sheetData>
  <sortState ref="G2:H55">
    <sortCondition ref="H2:H55"/>
  </sortState>
  <phoneticPr fontId="0" type="noConversion"/>
  <pageMargins left="0.75" right="0.75" top="1" bottom="1" header="0.5" footer="0.5"/>
  <pageSetup orientation="portrait" horizontalDpi="4294967295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workbookViewId="0">
      <selection activeCell="C1" sqref="C1:C45"/>
    </sheetView>
  </sheetViews>
  <sheetFormatPr defaultRowHeight="12.75" x14ac:dyDescent="0.2"/>
  <cols>
    <col min="3" max="3" width="16.28515625" bestFit="1" customWidth="1"/>
  </cols>
  <sheetData>
    <row r="1" spans="1:16" x14ac:dyDescent="0.2">
      <c r="A1" t="s">
        <v>42</v>
      </c>
      <c r="B1" t="s">
        <v>44</v>
      </c>
      <c r="C1" t="s">
        <v>30</v>
      </c>
      <c r="D1">
        <v>4</v>
      </c>
      <c r="E1">
        <v>5</v>
      </c>
      <c r="F1">
        <v>0</v>
      </c>
      <c r="G1">
        <v>15.99</v>
      </c>
      <c r="H1">
        <v>15.99</v>
      </c>
      <c r="I1">
        <v>4.55</v>
      </c>
      <c r="J1">
        <v>5</v>
      </c>
      <c r="K1">
        <v>16.559999999999999</v>
      </c>
      <c r="L1">
        <v>16.559999999999999</v>
      </c>
      <c r="M1">
        <v>4.55</v>
      </c>
      <c r="N1">
        <v>10</v>
      </c>
      <c r="O1">
        <v>32.549999999999997</v>
      </c>
      <c r="P1">
        <v>32</v>
      </c>
    </row>
    <row r="2" spans="1:16" x14ac:dyDescent="0.2">
      <c r="A2" t="s">
        <v>19</v>
      </c>
      <c r="B2" t="s">
        <v>83</v>
      </c>
      <c r="C2" s="25" t="s">
        <v>84</v>
      </c>
      <c r="D2">
        <v>4.1900000000000004</v>
      </c>
      <c r="E2">
        <v>5</v>
      </c>
      <c r="F2">
        <v>0</v>
      </c>
      <c r="G2">
        <v>13.61</v>
      </c>
      <c r="H2">
        <v>13.61</v>
      </c>
      <c r="I2">
        <v>5</v>
      </c>
      <c r="J2">
        <v>15.26</v>
      </c>
      <c r="K2">
        <v>15.26</v>
      </c>
      <c r="L2">
        <v>4.1900000000000004</v>
      </c>
      <c r="M2">
        <v>10</v>
      </c>
      <c r="N2">
        <v>28.87</v>
      </c>
      <c r="O2">
        <v>31</v>
      </c>
    </row>
    <row r="3" spans="1:16" x14ac:dyDescent="0.2">
      <c r="A3" t="s">
        <v>13</v>
      </c>
      <c r="B3" t="s">
        <v>12</v>
      </c>
      <c r="C3" s="25" t="s">
        <v>33</v>
      </c>
      <c r="D3">
        <v>3.91</v>
      </c>
      <c r="E3">
        <v>3</v>
      </c>
      <c r="F3">
        <v>0</v>
      </c>
      <c r="G3">
        <v>9.07</v>
      </c>
      <c r="H3">
        <v>9.07</v>
      </c>
      <c r="I3">
        <v>5.72</v>
      </c>
      <c r="J3">
        <v>5</v>
      </c>
      <c r="K3">
        <v>16.600000000000001</v>
      </c>
      <c r="L3">
        <v>16.600000000000001</v>
      </c>
      <c r="M3">
        <v>5.72</v>
      </c>
      <c r="N3">
        <v>8</v>
      </c>
      <c r="O3">
        <v>25.67</v>
      </c>
      <c r="P3">
        <v>30</v>
      </c>
    </row>
    <row r="4" spans="1:16" x14ac:dyDescent="0.2">
      <c r="A4" t="s">
        <v>203</v>
      </c>
      <c r="B4" t="s">
        <v>204</v>
      </c>
      <c r="C4" s="25" t="s">
        <v>189</v>
      </c>
      <c r="D4">
        <v>3.17</v>
      </c>
      <c r="E4">
        <v>5</v>
      </c>
      <c r="F4">
        <v>0</v>
      </c>
      <c r="G4">
        <v>12.38</v>
      </c>
      <c r="H4">
        <v>12.38</v>
      </c>
      <c r="I4">
        <v>2.83</v>
      </c>
      <c r="J4">
        <v>5</v>
      </c>
      <c r="K4">
        <v>12.6</v>
      </c>
      <c r="L4">
        <v>12.6</v>
      </c>
      <c r="M4">
        <v>3.17</v>
      </c>
      <c r="N4">
        <v>10</v>
      </c>
      <c r="O4">
        <v>24.98</v>
      </c>
      <c r="P4">
        <v>29</v>
      </c>
    </row>
    <row r="5" spans="1:16" x14ac:dyDescent="0.2">
      <c r="A5" t="s">
        <v>120</v>
      </c>
      <c r="B5" t="s">
        <v>121</v>
      </c>
      <c r="C5" s="25" t="s">
        <v>105</v>
      </c>
      <c r="D5">
        <v>4.04</v>
      </c>
      <c r="E5">
        <v>5</v>
      </c>
      <c r="F5">
        <v>0</v>
      </c>
      <c r="G5">
        <v>14.27</v>
      </c>
      <c r="H5">
        <v>14.27</v>
      </c>
      <c r="I5">
        <v>2.44</v>
      </c>
      <c r="J5">
        <v>5</v>
      </c>
      <c r="K5">
        <v>10.15</v>
      </c>
      <c r="L5">
        <v>10.15</v>
      </c>
      <c r="M5">
        <v>4.04</v>
      </c>
      <c r="N5">
        <v>10</v>
      </c>
      <c r="O5">
        <v>24.42</v>
      </c>
      <c r="P5">
        <v>28</v>
      </c>
    </row>
    <row r="6" spans="1:16" x14ac:dyDescent="0.2">
      <c r="A6" t="s">
        <v>46</v>
      </c>
      <c r="B6" t="s">
        <v>47</v>
      </c>
      <c r="C6" s="25" t="s">
        <v>54</v>
      </c>
      <c r="D6">
        <v>5.41</v>
      </c>
      <c r="E6">
        <v>5</v>
      </c>
      <c r="F6">
        <v>0</v>
      </c>
      <c r="G6">
        <v>16.97</v>
      </c>
      <c r="H6">
        <v>16.97</v>
      </c>
      <c r="I6">
        <v>3</v>
      </c>
      <c r="J6">
        <v>3</v>
      </c>
      <c r="K6">
        <v>6.29</v>
      </c>
      <c r="L6">
        <v>6.29</v>
      </c>
      <c r="M6">
        <v>5.41</v>
      </c>
      <c r="N6">
        <v>8</v>
      </c>
      <c r="O6">
        <v>23.26</v>
      </c>
      <c r="P6">
        <v>27</v>
      </c>
    </row>
    <row r="7" spans="1:16" x14ac:dyDescent="0.2">
      <c r="A7" t="s">
        <v>73</v>
      </c>
      <c r="B7" t="s">
        <v>153</v>
      </c>
      <c r="C7" s="25" t="s">
        <v>145</v>
      </c>
      <c r="D7">
        <v>4.01</v>
      </c>
      <c r="E7">
        <v>5</v>
      </c>
      <c r="F7">
        <v>0</v>
      </c>
      <c r="G7">
        <v>11.78</v>
      </c>
      <c r="H7">
        <v>11.78</v>
      </c>
      <c r="I7">
        <v>5</v>
      </c>
      <c r="J7">
        <v>10.68</v>
      </c>
      <c r="K7">
        <v>10.68</v>
      </c>
      <c r="L7">
        <v>4.01</v>
      </c>
      <c r="M7">
        <v>10</v>
      </c>
      <c r="N7">
        <v>22.46</v>
      </c>
      <c r="O7">
        <v>26</v>
      </c>
    </row>
    <row r="8" spans="1:16" x14ac:dyDescent="0.2">
      <c r="A8" t="s">
        <v>192</v>
      </c>
      <c r="B8" s="10" t="s">
        <v>193</v>
      </c>
      <c r="C8" s="25" t="s">
        <v>191</v>
      </c>
      <c r="D8">
        <v>3.3</v>
      </c>
      <c r="E8">
        <v>4</v>
      </c>
      <c r="F8">
        <v>0</v>
      </c>
      <c r="G8">
        <v>7.52</v>
      </c>
      <c r="H8">
        <v>7.52</v>
      </c>
      <c r="I8">
        <v>7.09</v>
      </c>
      <c r="J8">
        <v>4</v>
      </c>
      <c r="K8">
        <v>13.59</v>
      </c>
      <c r="L8">
        <v>13.59</v>
      </c>
      <c r="M8">
        <v>7.09</v>
      </c>
      <c r="N8">
        <v>8</v>
      </c>
      <c r="O8">
        <v>21.11</v>
      </c>
      <c r="P8">
        <v>25</v>
      </c>
    </row>
    <row r="9" spans="1:16" x14ac:dyDescent="0.2">
      <c r="A9" t="s">
        <v>21</v>
      </c>
      <c r="B9" t="s">
        <v>20</v>
      </c>
      <c r="C9" s="25" t="s">
        <v>55</v>
      </c>
      <c r="D9">
        <v>4.5199999999999996</v>
      </c>
      <c r="E9">
        <v>4</v>
      </c>
      <c r="F9">
        <v>0</v>
      </c>
      <c r="G9">
        <v>9.91</v>
      </c>
      <c r="H9">
        <v>9.91</v>
      </c>
      <c r="I9">
        <v>3.93</v>
      </c>
      <c r="J9">
        <v>3</v>
      </c>
      <c r="K9">
        <v>10.29</v>
      </c>
      <c r="L9">
        <v>10.29</v>
      </c>
      <c r="M9">
        <v>4.5199999999999996</v>
      </c>
      <c r="N9">
        <v>7</v>
      </c>
      <c r="O9">
        <v>20.2</v>
      </c>
      <c r="P9">
        <v>24</v>
      </c>
    </row>
    <row r="10" spans="1:16" x14ac:dyDescent="0.2">
      <c r="A10" t="s">
        <v>127</v>
      </c>
      <c r="B10" t="s">
        <v>128</v>
      </c>
      <c r="C10" s="25" t="s">
        <v>129</v>
      </c>
      <c r="D10">
        <v>4.1100000000000003</v>
      </c>
      <c r="E10">
        <v>4</v>
      </c>
      <c r="F10">
        <v>0</v>
      </c>
      <c r="G10">
        <v>9.39</v>
      </c>
      <c r="H10">
        <v>9.39</v>
      </c>
      <c r="I10">
        <v>2.37</v>
      </c>
      <c r="J10">
        <v>5</v>
      </c>
      <c r="K10">
        <v>10.73</v>
      </c>
      <c r="L10">
        <v>10.73</v>
      </c>
      <c r="M10">
        <v>4.1100000000000003</v>
      </c>
      <c r="N10">
        <v>9</v>
      </c>
      <c r="O10">
        <v>20.12</v>
      </c>
      <c r="P10">
        <v>23</v>
      </c>
    </row>
    <row r="11" spans="1:16" x14ac:dyDescent="0.2">
      <c r="A11" t="s">
        <v>19</v>
      </c>
      <c r="B11" t="s">
        <v>156</v>
      </c>
      <c r="C11" s="25" t="s">
        <v>146</v>
      </c>
      <c r="D11">
        <v>5.0199999999999996</v>
      </c>
      <c r="E11">
        <v>3</v>
      </c>
      <c r="F11">
        <v>0</v>
      </c>
      <c r="G11">
        <v>8.7799999999999994</v>
      </c>
      <c r="H11">
        <v>8.7799999999999994</v>
      </c>
      <c r="I11">
        <v>6.62</v>
      </c>
      <c r="J11">
        <v>3</v>
      </c>
      <c r="K11">
        <v>10.52</v>
      </c>
      <c r="L11">
        <v>10.52</v>
      </c>
      <c r="M11">
        <v>6.62</v>
      </c>
      <c r="N11">
        <v>6</v>
      </c>
      <c r="O11">
        <v>19.3</v>
      </c>
      <c r="P11">
        <v>22</v>
      </c>
    </row>
    <row r="12" spans="1:16" x14ac:dyDescent="0.2">
      <c r="A12" t="s">
        <v>3</v>
      </c>
      <c r="B12" t="s">
        <v>2</v>
      </c>
      <c r="C12" s="25" t="s">
        <v>31</v>
      </c>
      <c r="D12">
        <v>4.01</v>
      </c>
      <c r="E12">
        <v>4</v>
      </c>
      <c r="F12">
        <v>0</v>
      </c>
      <c r="G12">
        <v>12.85</v>
      </c>
      <c r="H12">
        <v>12.85</v>
      </c>
      <c r="I12">
        <v>2</v>
      </c>
      <c r="J12">
        <v>0.25</v>
      </c>
      <c r="K12">
        <v>5.44</v>
      </c>
      <c r="L12">
        <v>5.19</v>
      </c>
      <c r="M12">
        <v>4.01</v>
      </c>
      <c r="N12">
        <v>6</v>
      </c>
      <c r="O12">
        <v>18.04</v>
      </c>
      <c r="P12">
        <v>21</v>
      </c>
    </row>
    <row r="13" spans="1:16" x14ac:dyDescent="0.2">
      <c r="A13" t="s">
        <v>154</v>
      </c>
      <c r="B13" t="s">
        <v>155</v>
      </c>
      <c r="C13" s="25" t="s">
        <v>119</v>
      </c>
      <c r="D13">
        <v>3.93</v>
      </c>
      <c r="E13">
        <v>5</v>
      </c>
      <c r="F13">
        <v>0</v>
      </c>
      <c r="G13">
        <v>14.01</v>
      </c>
      <c r="H13">
        <v>14.01</v>
      </c>
      <c r="I13">
        <v>3.54</v>
      </c>
      <c r="J13">
        <v>1</v>
      </c>
      <c r="K13">
        <v>3.54</v>
      </c>
      <c r="L13">
        <v>3.54</v>
      </c>
      <c r="M13">
        <v>3.93</v>
      </c>
      <c r="N13">
        <v>6</v>
      </c>
      <c r="O13">
        <v>17.55</v>
      </c>
      <c r="P13">
        <v>20</v>
      </c>
    </row>
    <row r="14" spans="1:16" x14ac:dyDescent="0.2">
      <c r="A14" t="s">
        <v>196</v>
      </c>
      <c r="B14" t="s">
        <v>197</v>
      </c>
      <c r="C14" s="25" t="s">
        <v>175</v>
      </c>
      <c r="D14">
        <v>2.71</v>
      </c>
      <c r="E14">
        <v>5</v>
      </c>
      <c r="F14">
        <v>0</v>
      </c>
      <c r="G14">
        <v>11.22</v>
      </c>
      <c r="H14">
        <v>11.22</v>
      </c>
      <c r="I14">
        <v>2.73</v>
      </c>
      <c r="J14">
        <v>2</v>
      </c>
      <c r="K14">
        <v>5.0199999999999996</v>
      </c>
      <c r="L14">
        <v>5.0199999999999996</v>
      </c>
      <c r="M14">
        <v>2.73</v>
      </c>
      <c r="N14">
        <v>7</v>
      </c>
      <c r="O14">
        <v>16.239999999999998</v>
      </c>
      <c r="P14">
        <v>19</v>
      </c>
    </row>
    <row r="15" spans="1:16" x14ac:dyDescent="0.2">
      <c r="A15" t="s">
        <v>57</v>
      </c>
      <c r="B15" t="s">
        <v>12</v>
      </c>
      <c r="C15" s="25" t="s">
        <v>56</v>
      </c>
      <c r="D15">
        <v>3.07</v>
      </c>
      <c r="E15">
        <v>2</v>
      </c>
      <c r="F15">
        <v>0.25</v>
      </c>
      <c r="G15">
        <v>5.07</v>
      </c>
      <c r="H15">
        <v>4.82</v>
      </c>
      <c r="I15">
        <v>3.95</v>
      </c>
      <c r="J15">
        <v>4</v>
      </c>
      <c r="K15">
        <v>11</v>
      </c>
      <c r="L15">
        <v>11</v>
      </c>
      <c r="M15">
        <v>3.95</v>
      </c>
      <c r="N15">
        <v>6</v>
      </c>
      <c r="O15">
        <v>15.82</v>
      </c>
      <c r="P15">
        <v>18</v>
      </c>
    </row>
    <row r="16" spans="1:16" x14ac:dyDescent="0.2">
      <c r="A16" t="s">
        <v>73</v>
      </c>
      <c r="B16" t="s">
        <v>74</v>
      </c>
      <c r="C16" s="25" t="s">
        <v>75</v>
      </c>
      <c r="D16">
        <v>4.5999999999999996</v>
      </c>
      <c r="E16">
        <v>5</v>
      </c>
      <c r="F16">
        <v>0</v>
      </c>
      <c r="G16">
        <v>12.64</v>
      </c>
      <c r="H16">
        <v>12.64</v>
      </c>
      <c r="I16">
        <v>2</v>
      </c>
      <c r="J16">
        <v>2.59</v>
      </c>
      <c r="K16">
        <v>2.59</v>
      </c>
      <c r="L16">
        <v>4.5999999999999996</v>
      </c>
      <c r="M16">
        <v>7</v>
      </c>
      <c r="N16">
        <v>15.23</v>
      </c>
      <c r="O16">
        <v>17</v>
      </c>
    </row>
    <row r="17" spans="1:16" x14ac:dyDescent="0.2">
      <c r="A17" t="s">
        <v>6</v>
      </c>
      <c r="B17" t="s">
        <v>5</v>
      </c>
      <c r="C17" s="25" t="s">
        <v>32</v>
      </c>
      <c r="D17">
        <v>3.26</v>
      </c>
      <c r="E17">
        <v>2</v>
      </c>
      <c r="F17">
        <v>0</v>
      </c>
      <c r="G17">
        <v>4.5599999999999996</v>
      </c>
      <c r="H17">
        <v>4.5599999999999996</v>
      </c>
      <c r="I17">
        <v>5.39</v>
      </c>
      <c r="J17">
        <v>3</v>
      </c>
      <c r="K17">
        <v>9.7200000000000006</v>
      </c>
      <c r="L17">
        <v>9.7200000000000006</v>
      </c>
      <c r="M17">
        <v>5.39</v>
      </c>
      <c r="N17">
        <v>5</v>
      </c>
      <c r="O17">
        <v>14.28</v>
      </c>
      <c r="P17">
        <v>16</v>
      </c>
    </row>
    <row r="18" spans="1:16" x14ac:dyDescent="0.2">
      <c r="A18" t="s">
        <v>9</v>
      </c>
      <c r="B18" t="s">
        <v>158</v>
      </c>
      <c r="C18" s="25" t="s">
        <v>148</v>
      </c>
      <c r="D18">
        <v>3.77</v>
      </c>
      <c r="E18">
        <v>3</v>
      </c>
      <c r="F18">
        <v>0</v>
      </c>
      <c r="G18">
        <v>8.02</v>
      </c>
      <c r="H18">
        <v>8.02</v>
      </c>
      <c r="I18">
        <v>2</v>
      </c>
      <c r="J18">
        <v>5.28</v>
      </c>
      <c r="K18">
        <v>5.28</v>
      </c>
      <c r="L18">
        <v>3.77</v>
      </c>
      <c r="M18">
        <v>5</v>
      </c>
      <c r="N18">
        <v>13.3</v>
      </c>
      <c r="O18">
        <v>15</v>
      </c>
    </row>
    <row r="19" spans="1:16" x14ac:dyDescent="0.2">
      <c r="A19" t="s">
        <v>200</v>
      </c>
      <c r="B19" t="s">
        <v>201</v>
      </c>
      <c r="C19" s="25" t="s">
        <v>171</v>
      </c>
      <c r="D19">
        <v>5.12</v>
      </c>
      <c r="E19">
        <v>1</v>
      </c>
      <c r="F19">
        <v>0</v>
      </c>
      <c r="G19">
        <v>5.12</v>
      </c>
      <c r="H19">
        <v>5.12</v>
      </c>
      <c r="I19">
        <v>5.23</v>
      </c>
      <c r="J19">
        <v>2</v>
      </c>
      <c r="K19">
        <v>7.81</v>
      </c>
      <c r="L19">
        <v>7.81</v>
      </c>
      <c r="M19">
        <v>5.23</v>
      </c>
      <c r="N19">
        <v>3</v>
      </c>
      <c r="O19">
        <v>12.93</v>
      </c>
      <c r="P19">
        <v>14</v>
      </c>
    </row>
    <row r="20" spans="1:16" x14ac:dyDescent="0.2">
      <c r="A20" t="s">
        <v>199</v>
      </c>
      <c r="B20" t="s">
        <v>101</v>
      </c>
      <c r="C20" s="25" t="s">
        <v>103</v>
      </c>
      <c r="D20">
        <v>3.07</v>
      </c>
      <c r="E20">
        <v>5</v>
      </c>
      <c r="F20">
        <v>0</v>
      </c>
      <c r="G20">
        <v>10.63</v>
      </c>
      <c r="H20">
        <v>10.63</v>
      </c>
      <c r="I20">
        <v>1.97</v>
      </c>
      <c r="J20">
        <v>1</v>
      </c>
      <c r="K20">
        <v>1.97</v>
      </c>
      <c r="L20">
        <v>1.97</v>
      </c>
      <c r="M20">
        <v>3.07</v>
      </c>
      <c r="N20">
        <v>6</v>
      </c>
      <c r="O20">
        <v>12.6</v>
      </c>
      <c r="P20">
        <v>13</v>
      </c>
    </row>
    <row r="21" spans="1:16" x14ac:dyDescent="0.2">
      <c r="A21" t="s">
        <v>43</v>
      </c>
      <c r="B21" t="s">
        <v>81</v>
      </c>
      <c r="C21" s="25" t="s">
        <v>82</v>
      </c>
      <c r="D21">
        <v>2.14</v>
      </c>
      <c r="E21">
        <v>2</v>
      </c>
      <c r="F21">
        <v>0</v>
      </c>
      <c r="G21">
        <v>3.46</v>
      </c>
      <c r="H21">
        <v>3.46</v>
      </c>
      <c r="I21">
        <v>3.74</v>
      </c>
      <c r="J21">
        <v>3</v>
      </c>
      <c r="K21">
        <v>8.75</v>
      </c>
      <c r="L21">
        <v>8.75</v>
      </c>
      <c r="M21">
        <v>3.74</v>
      </c>
      <c r="N21">
        <v>5</v>
      </c>
      <c r="O21">
        <v>12.21</v>
      </c>
      <c r="P21">
        <v>12</v>
      </c>
    </row>
    <row r="22" spans="1:16" x14ac:dyDescent="0.2">
      <c r="A22" t="s">
        <v>29</v>
      </c>
      <c r="B22" t="s">
        <v>28</v>
      </c>
      <c r="C22" s="25" t="s">
        <v>35</v>
      </c>
      <c r="D22">
        <v>3.86</v>
      </c>
      <c r="E22">
        <v>3</v>
      </c>
      <c r="F22">
        <v>0</v>
      </c>
      <c r="G22">
        <v>8.15</v>
      </c>
      <c r="H22">
        <v>8.15</v>
      </c>
      <c r="I22">
        <v>2</v>
      </c>
      <c r="J22">
        <v>2.93</v>
      </c>
      <c r="K22">
        <v>2.93</v>
      </c>
      <c r="L22">
        <v>3.86</v>
      </c>
      <c r="M22">
        <v>5</v>
      </c>
      <c r="N22">
        <v>11.08</v>
      </c>
      <c r="O22">
        <v>11</v>
      </c>
    </row>
    <row r="23" spans="1:16" x14ac:dyDescent="0.2">
      <c r="A23" t="s">
        <v>6</v>
      </c>
      <c r="B23" t="s">
        <v>131</v>
      </c>
      <c r="C23" s="25" t="s">
        <v>107</v>
      </c>
      <c r="D23">
        <v>2.5499999999999998</v>
      </c>
      <c r="E23">
        <v>1</v>
      </c>
      <c r="F23">
        <v>0</v>
      </c>
      <c r="G23">
        <v>2.5499999999999998</v>
      </c>
      <c r="H23">
        <v>2.5499999999999998</v>
      </c>
      <c r="I23">
        <v>3.84</v>
      </c>
      <c r="J23">
        <v>3</v>
      </c>
      <c r="K23">
        <v>8.24</v>
      </c>
      <c r="L23">
        <v>8.24</v>
      </c>
      <c r="M23">
        <v>3.84</v>
      </c>
      <c r="N23">
        <v>4</v>
      </c>
      <c r="O23">
        <v>10.79</v>
      </c>
      <c r="P23">
        <v>10</v>
      </c>
    </row>
    <row r="24" spans="1:16" x14ac:dyDescent="0.2">
      <c r="A24" t="s">
        <v>16</v>
      </c>
      <c r="B24" t="s">
        <v>198</v>
      </c>
      <c r="C24" s="25" t="s">
        <v>188</v>
      </c>
      <c r="D24">
        <v>2.78</v>
      </c>
      <c r="E24">
        <v>2</v>
      </c>
      <c r="F24">
        <v>0</v>
      </c>
      <c r="G24">
        <v>4.74</v>
      </c>
      <c r="H24">
        <v>4.74</v>
      </c>
      <c r="I24">
        <v>3.12</v>
      </c>
      <c r="J24">
        <v>2</v>
      </c>
      <c r="K24">
        <v>5.84</v>
      </c>
      <c r="L24">
        <v>5.84</v>
      </c>
      <c r="M24">
        <v>3.12</v>
      </c>
      <c r="N24">
        <v>4</v>
      </c>
      <c r="O24">
        <v>10.58</v>
      </c>
      <c r="P24">
        <v>9</v>
      </c>
    </row>
    <row r="25" spans="1:16" x14ac:dyDescent="0.2">
      <c r="A25" t="s">
        <v>17</v>
      </c>
      <c r="B25" t="s">
        <v>79</v>
      </c>
      <c r="C25" s="25" t="s">
        <v>80</v>
      </c>
      <c r="D25">
        <v>2.79</v>
      </c>
      <c r="E25">
        <v>1</v>
      </c>
      <c r="F25">
        <v>0</v>
      </c>
      <c r="G25">
        <v>2.79</v>
      </c>
      <c r="H25">
        <v>2.79</v>
      </c>
      <c r="I25">
        <v>3.43</v>
      </c>
      <c r="J25">
        <v>3</v>
      </c>
      <c r="K25">
        <v>6.23</v>
      </c>
      <c r="L25">
        <v>6.23</v>
      </c>
      <c r="M25">
        <v>3.43</v>
      </c>
      <c r="N25">
        <v>4</v>
      </c>
      <c r="O25">
        <v>9.02</v>
      </c>
      <c r="P25">
        <v>8</v>
      </c>
    </row>
    <row r="26" spans="1:16" x14ac:dyDescent="0.2">
      <c r="A26" t="s">
        <v>205</v>
      </c>
      <c r="B26" t="s">
        <v>206</v>
      </c>
      <c r="C26" s="25" t="s">
        <v>177</v>
      </c>
      <c r="D26">
        <v>2.8</v>
      </c>
      <c r="E26">
        <v>1</v>
      </c>
      <c r="F26">
        <v>0</v>
      </c>
      <c r="G26">
        <v>2.8</v>
      </c>
      <c r="H26">
        <v>2.8</v>
      </c>
      <c r="I26">
        <v>2.64</v>
      </c>
      <c r="J26">
        <v>3</v>
      </c>
      <c r="K26">
        <v>6.17</v>
      </c>
      <c r="L26">
        <v>6.17</v>
      </c>
      <c r="M26">
        <v>2.8</v>
      </c>
      <c r="N26">
        <v>4</v>
      </c>
      <c r="O26">
        <v>8.9700000000000006</v>
      </c>
      <c r="P26">
        <v>7</v>
      </c>
    </row>
    <row r="27" spans="1:16" x14ac:dyDescent="0.2">
      <c r="A27" t="s">
        <v>4</v>
      </c>
      <c r="B27" t="s">
        <v>116</v>
      </c>
      <c r="C27" s="25" t="s">
        <v>104</v>
      </c>
      <c r="D27">
        <v>3.03</v>
      </c>
      <c r="E27">
        <v>3</v>
      </c>
      <c r="F27">
        <v>0</v>
      </c>
      <c r="G27">
        <v>6.34</v>
      </c>
      <c r="H27">
        <v>6.34</v>
      </c>
      <c r="I27">
        <v>0</v>
      </c>
      <c r="J27">
        <v>0</v>
      </c>
      <c r="K27">
        <v>0</v>
      </c>
      <c r="L27">
        <v>0</v>
      </c>
      <c r="M27">
        <v>3.03</v>
      </c>
      <c r="N27">
        <v>3</v>
      </c>
      <c r="O27">
        <v>6.34</v>
      </c>
      <c r="P27" s="10" t="s">
        <v>165</v>
      </c>
    </row>
    <row r="28" spans="1:16" x14ac:dyDescent="0.2">
      <c r="A28" t="s">
        <v>194</v>
      </c>
      <c r="B28" t="s">
        <v>45</v>
      </c>
      <c r="C28" s="25" t="s">
        <v>166</v>
      </c>
      <c r="D28">
        <v>4.7</v>
      </c>
      <c r="E28">
        <v>1</v>
      </c>
      <c r="F28">
        <v>0</v>
      </c>
      <c r="G28">
        <v>4.7</v>
      </c>
      <c r="H28">
        <v>4.7</v>
      </c>
      <c r="I28">
        <v>0</v>
      </c>
      <c r="J28">
        <v>0</v>
      </c>
      <c r="K28">
        <v>0</v>
      </c>
      <c r="L28">
        <v>0</v>
      </c>
      <c r="M28">
        <v>4.7</v>
      </c>
      <c r="N28">
        <v>1</v>
      </c>
      <c r="O28">
        <v>4.7</v>
      </c>
      <c r="P28">
        <v>6</v>
      </c>
    </row>
    <row r="29" spans="1:16" x14ac:dyDescent="0.2">
      <c r="A29" t="s">
        <v>15</v>
      </c>
      <c r="B29" t="s">
        <v>14</v>
      </c>
      <c r="C29" s="25" t="s">
        <v>34</v>
      </c>
      <c r="D29">
        <v>0</v>
      </c>
      <c r="E29">
        <v>0</v>
      </c>
      <c r="F29">
        <v>0</v>
      </c>
      <c r="G29">
        <v>0</v>
      </c>
      <c r="H29">
        <v>0</v>
      </c>
      <c r="I29">
        <v>3.24</v>
      </c>
      <c r="J29">
        <v>1</v>
      </c>
      <c r="K29">
        <v>3.24</v>
      </c>
      <c r="L29">
        <v>3.24</v>
      </c>
      <c r="M29">
        <v>3.24</v>
      </c>
      <c r="N29">
        <v>1</v>
      </c>
      <c r="O29">
        <v>3.24</v>
      </c>
      <c r="P29">
        <v>5</v>
      </c>
    </row>
    <row r="30" spans="1:16" x14ac:dyDescent="0.2">
      <c r="A30" t="s">
        <v>16</v>
      </c>
      <c r="B30" t="s">
        <v>101</v>
      </c>
      <c r="C30" s="25" t="s">
        <v>102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 s="10" t="s">
        <v>165</v>
      </c>
    </row>
    <row r="31" spans="1:16" x14ac:dyDescent="0.2">
      <c r="A31" t="s">
        <v>94</v>
      </c>
      <c r="B31" t="s">
        <v>123</v>
      </c>
      <c r="C31" s="25" t="s">
        <v>122</v>
      </c>
    </row>
    <row r="32" spans="1:16" x14ac:dyDescent="0.2">
      <c r="A32" t="s">
        <v>120</v>
      </c>
      <c r="B32" t="s">
        <v>121</v>
      </c>
      <c r="C32" s="25" t="s">
        <v>36</v>
      </c>
    </row>
    <row r="33" spans="1:3" x14ac:dyDescent="0.2">
      <c r="A33" t="s">
        <v>29</v>
      </c>
      <c r="B33" t="s">
        <v>28</v>
      </c>
      <c r="C33" s="25" t="s">
        <v>49</v>
      </c>
    </row>
    <row r="34" spans="1:3" x14ac:dyDescent="0.2">
      <c r="A34" t="s">
        <v>17</v>
      </c>
      <c r="B34" t="s">
        <v>79</v>
      </c>
      <c r="C34" s="25" t="s">
        <v>180</v>
      </c>
    </row>
    <row r="35" spans="1:3" x14ac:dyDescent="0.2">
      <c r="A35" t="s">
        <v>73</v>
      </c>
      <c r="B35" t="s">
        <v>74</v>
      </c>
      <c r="C35" s="25" t="s">
        <v>176</v>
      </c>
    </row>
    <row r="36" spans="1:3" x14ac:dyDescent="0.2">
      <c r="A36" t="s">
        <v>19</v>
      </c>
      <c r="B36" t="s">
        <v>156</v>
      </c>
      <c r="C36" s="25" t="s">
        <v>70</v>
      </c>
    </row>
    <row r="37" spans="1:3" x14ac:dyDescent="0.2">
      <c r="A37" t="s">
        <v>73</v>
      </c>
      <c r="B37" t="s">
        <v>153</v>
      </c>
      <c r="C37" s="25" t="s">
        <v>141</v>
      </c>
    </row>
    <row r="38" spans="1:3" x14ac:dyDescent="0.2">
      <c r="A38" t="s">
        <v>13</v>
      </c>
      <c r="B38" t="s">
        <v>12</v>
      </c>
      <c r="C38" s="25" t="s">
        <v>53</v>
      </c>
    </row>
    <row r="39" spans="1:3" x14ac:dyDescent="0.2">
      <c r="A39" t="s">
        <v>6</v>
      </c>
      <c r="B39" t="s">
        <v>5</v>
      </c>
      <c r="C39" s="25" t="s">
        <v>51</v>
      </c>
    </row>
    <row r="40" spans="1:3" x14ac:dyDescent="0.2">
      <c r="A40" t="s">
        <v>9</v>
      </c>
      <c r="B40" t="s">
        <v>158</v>
      </c>
      <c r="C40" s="25" t="s">
        <v>190</v>
      </c>
    </row>
    <row r="41" spans="1:3" x14ac:dyDescent="0.2">
      <c r="A41" t="s">
        <v>40</v>
      </c>
      <c r="B41" t="s">
        <v>41</v>
      </c>
      <c r="C41" s="25" t="s">
        <v>184</v>
      </c>
    </row>
    <row r="42" spans="1:3" x14ac:dyDescent="0.2">
      <c r="A42" t="s">
        <v>154</v>
      </c>
      <c r="B42" t="s">
        <v>155</v>
      </c>
      <c r="C42" s="25" t="s">
        <v>178</v>
      </c>
    </row>
    <row r="43" spans="1:3" x14ac:dyDescent="0.2">
      <c r="A43" t="s">
        <v>6</v>
      </c>
      <c r="B43" t="s">
        <v>131</v>
      </c>
      <c r="C43" s="25" t="s">
        <v>172</v>
      </c>
    </row>
    <row r="44" spans="1:3" x14ac:dyDescent="0.2">
      <c r="A44" t="s">
        <v>11</v>
      </c>
      <c r="B44" t="s">
        <v>10</v>
      </c>
      <c r="C44" s="25" t="s">
        <v>164</v>
      </c>
    </row>
    <row r="45" spans="1:3" x14ac:dyDescent="0.2">
      <c r="A45" t="s">
        <v>57</v>
      </c>
      <c r="B45" t="s">
        <v>12</v>
      </c>
      <c r="C45" s="25" t="s">
        <v>48</v>
      </c>
    </row>
    <row r="46" spans="1:3" x14ac:dyDescent="0.2">
      <c r="A46" t="s">
        <v>192</v>
      </c>
      <c r="B46" t="s">
        <v>193</v>
      </c>
    </row>
    <row r="47" spans="1:3" x14ac:dyDescent="0.2">
      <c r="A47" t="s">
        <v>194</v>
      </c>
      <c r="B47" t="s">
        <v>45</v>
      </c>
    </row>
    <row r="48" spans="1:3" x14ac:dyDescent="0.2">
      <c r="A48" t="s">
        <v>3</v>
      </c>
      <c r="B48" t="s">
        <v>2</v>
      </c>
    </row>
    <row r="49" spans="1:2" x14ac:dyDescent="0.2">
      <c r="A49" t="s">
        <v>138</v>
      </c>
      <c r="B49" t="s">
        <v>195</v>
      </c>
    </row>
    <row r="50" spans="1:2" x14ac:dyDescent="0.2">
      <c r="A50" t="s">
        <v>4</v>
      </c>
      <c r="B50" t="s">
        <v>116</v>
      </c>
    </row>
    <row r="51" spans="1:2" x14ac:dyDescent="0.2">
      <c r="A51" t="s">
        <v>196</v>
      </c>
      <c r="B51" t="s">
        <v>197</v>
      </c>
    </row>
    <row r="52" spans="1:2" x14ac:dyDescent="0.2">
      <c r="A52" t="s">
        <v>16</v>
      </c>
      <c r="B52" t="s">
        <v>198</v>
      </c>
    </row>
    <row r="53" spans="1:2" x14ac:dyDescent="0.2">
      <c r="A53" t="s">
        <v>19</v>
      </c>
      <c r="B53" t="s">
        <v>83</v>
      </c>
    </row>
    <row r="54" spans="1:2" x14ac:dyDescent="0.2">
      <c r="A54" t="s">
        <v>46</v>
      </c>
      <c r="B54" t="s">
        <v>47</v>
      </c>
    </row>
    <row r="55" spans="1:2" x14ac:dyDescent="0.2">
      <c r="A55" t="s">
        <v>199</v>
      </c>
      <c r="B55" t="s">
        <v>101</v>
      </c>
    </row>
    <row r="56" spans="1:2" x14ac:dyDescent="0.2">
      <c r="A56" t="s">
        <v>200</v>
      </c>
      <c r="B56" t="s">
        <v>201</v>
      </c>
    </row>
    <row r="57" spans="1:2" x14ac:dyDescent="0.2">
      <c r="A57" t="s">
        <v>43</v>
      </c>
      <c r="B57" t="s">
        <v>81</v>
      </c>
    </row>
    <row r="58" spans="1:2" x14ac:dyDescent="0.2">
      <c r="A58" t="s">
        <v>16</v>
      </c>
      <c r="B58" t="s">
        <v>202</v>
      </c>
    </row>
    <row r="59" spans="1:2" x14ac:dyDescent="0.2">
      <c r="A59" t="s">
        <v>21</v>
      </c>
      <c r="B59" t="s">
        <v>20</v>
      </c>
    </row>
    <row r="60" spans="1:2" x14ac:dyDescent="0.2">
      <c r="A60" t="s">
        <v>68</v>
      </c>
      <c r="B60" t="s">
        <v>69</v>
      </c>
    </row>
    <row r="61" spans="1:2" x14ac:dyDescent="0.2">
      <c r="A61" t="s">
        <v>9</v>
      </c>
      <c r="B61" t="s">
        <v>157</v>
      </c>
    </row>
    <row r="62" spans="1:2" x14ac:dyDescent="0.2">
      <c r="A62" t="s">
        <v>9</v>
      </c>
      <c r="B62" t="s">
        <v>158</v>
      </c>
    </row>
    <row r="63" spans="1:2" x14ac:dyDescent="0.2">
      <c r="A63" t="s">
        <v>13</v>
      </c>
      <c r="B63" t="s">
        <v>12</v>
      </c>
    </row>
    <row r="64" spans="1:2" x14ac:dyDescent="0.2">
      <c r="A64" t="s">
        <v>29</v>
      </c>
      <c r="B64" t="s">
        <v>28</v>
      </c>
    </row>
    <row r="65" spans="1:2" x14ac:dyDescent="0.2">
      <c r="A65" t="s">
        <v>6</v>
      </c>
      <c r="B65" t="s">
        <v>131</v>
      </c>
    </row>
    <row r="66" spans="1:2" x14ac:dyDescent="0.2">
      <c r="A66" t="s">
        <v>57</v>
      </c>
      <c r="B66" t="s">
        <v>12</v>
      </c>
    </row>
    <row r="67" spans="1:2" x14ac:dyDescent="0.2">
      <c r="A67" t="s">
        <v>46</v>
      </c>
      <c r="B67" t="s">
        <v>47</v>
      </c>
    </row>
    <row r="68" spans="1:2" x14ac:dyDescent="0.2">
      <c r="A68" t="s">
        <v>200</v>
      </c>
      <c r="B68" t="s">
        <v>201</v>
      </c>
    </row>
    <row r="69" spans="1:2" x14ac:dyDescent="0.2">
      <c r="A69" t="s">
        <v>73</v>
      </c>
      <c r="B69" t="s">
        <v>74</v>
      </c>
    </row>
    <row r="70" spans="1:2" x14ac:dyDescent="0.2">
      <c r="A70" t="s">
        <v>73</v>
      </c>
      <c r="B70" t="s">
        <v>153</v>
      </c>
    </row>
    <row r="71" spans="1:2" x14ac:dyDescent="0.2">
      <c r="A71" t="s">
        <v>203</v>
      </c>
      <c r="B71" t="s">
        <v>204</v>
      </c>
    </row>
    <row r="72" spans="1:2" x14ac:dyDescent="0.2">
      <c r="A72" t="s">
        <v>196</v>
      </c>
      <c r="B72" t="s">
        <v>197</v>
      </c>
    </row>
    <row r="73" spans="1:2" x14ac:dyDescent="0.2">
      <c r="A73" t="s">
        <v>16</v>
      </c>
      <c r="B73" t="s">
        <v>198</v>
      </c>
    </row>
    <row r="74" spans="1:2" x14ac:dyDescent="0.2">
      <c r="A74" t="s">
        <v>194</v>
      </c>
      <c r="B74" t="s">
        <v>45</v>
      </c>
    </row>
    <row r="75" spans="1:2" x14ac:dyDescent="0.2">
      <c r="A75" t="s">
        <v>3</v>
      </c>
      <c r="B75" t="s">
        <v>2</v>
      </c>
    </row>
    <row r="76" spans="1:2" x14ac:dyDescent="0.2">
      <c r="A76" t="s">
        <v>3</v>
      </c>
      <c r="B76" t="s">
        <v>18</v>
      </c>
    </row>
    <row r="77" spans="1:2" x14ac:dyDescent="0.2">
      <c r="A77" t="s">
        <v>19</v>
      </c>
      <c r="B77" t="s">
        <v>156</v>
      </c>
    </row>
    <row r="78" spans="1:2" x14ac:dyDescent="0.2">
      <c r="A78" t="s">
        <v>19</v>
      </c>
      <c r="B78" t="s">
        <v>83</v>
      </c>
    </row>
    <row r="79" spans="1:2" x14ac:dyDescent="0.2">
      <c r="A79" t="s">
        <v>27</v>
      </c>
      <c r="B79" t="s">
        <v>26</v>
      </c>
    </row>
    <row r="80" spans="1:2" x14ac:dyDescent="0.2">
      <c r="A80" t="s">
        <v>17</v>
      </c>
      <c r="B80" t="s">
        <v>79</v>
      </c>
    </row>
    <row r="81" spans="1:2" x14ac:dyDescent="0.2">
      <c r="A81" t="s">
        <v>9</v>
      </c>
      <c r="B81" t="s">
        <v>207</v>
      </c>
    </row>
    <row r="82" spans="1:2" x14ac:dyDescent="0.2">
      <c r="A82" t="s">
        <v>4</v>
      </c>
      <c r="B82" t="s">
        <v>116</v>
      </c>
    </row>
    <row r="83" spans="1:2" x14ac:dyDescent="0.2">
      <c r="A83" t="s">
        <v>205</v>
      </c>
      <c r="B83" t="s">
        <v>206</v>
      </c>
    </row>
    <row r="84" spans="1:2" x14ac:dyDescent="0.2">
      <c r="A84" t="s">
        <v>208</v>
      </c>
      <c r="B84" t="s">
        <v>209</v>
      </c>
    </row>
    <row r="85" spans="1:2" x14ac:dyDescent="0.2">
      <c r="A85" t="s">
        <v>154</v>
      </c>
      <c r="B85" t="s">
        <v>155</v>
      </c>
    </row>
    <row r="86" spans="1:2" x14ac:dyDescent="0.2">
      <c r="A86" t="s">
        <v>43</v>
      </c>
      <c r="B86" t="s">
        <v>81</v>
      </c>
    </row>
    <row r="87" spans="1:2" x14ac:dyDescent="0.2">
      <c r="A87" t="s">
        <v>120</v>
      </c>
      <c r="B87" t="s">
        <v>121</v>
      </c>
    </row>
    <row r="88" spans="1:2" x14ac:dyDescent="0.2">
      <c r="A88" t="s">
        <v>40</v>
      </c>
      <c r="B88" t="s">
        <v>41</v>
      </c>
    </row>
    <row r="89" spans="1:2" x14ac:dyDescent="0.2">
      <c r="A89" t="s">
        <v>21</v>
      </c>
      <c r="B89" t="s">
        <v>20</v>
      </c>
    </row>
    <row r="90" spans="1:2" x14ac:dyDescent="0.2">
      <c r="A90" t="s">
        <v>94</v>
      </c>
      <c r="B90" t="s">
        <v>123</v>
      </c>
    </row>
    <row r="91" spans="1:2" x14ac:dyDescent="0.2">
      <c r="A91" t="s">
        <v>120</v>
      </c>
      <c r="B91" t="s">
        <v>121</v>
      </c>
    </row>
    <row r="92" spans="1:2" x14ac:dyDescent="0.2">
      <c r="A92" t="s">
        <v>29</v>
      </c>
      <c r="B92" t="s">
        <v>28</v>
      </c>
    </row>
    <row r="93" spans="1:2" x14ac:dyDescent="0.2">
      <c r="A93" t="s">
        <v>16</v>
      </c>
      <c r="B93" t="s">
        <v>198</v>
      </c>
    </row>
    <row r="94" spans="1:2" x14ac:dyDescent="0.2">
      <c r="A94" t="s">
        <v>16</v>
      </c>
      <c r="B94" t="s">
        <v>101</v>
      </c>
    </row>
    <row r="95" spans="1:2" x14ac:dyDescent="0.2">
      <c r="A95" t="s">
        <v>3</v>
      </c>
      <c r="B95" t="s">
        <v>18</v>
      </c>
    </row>
    <row r="96" spans="1:2" x14ac:dyDescent="0.2">
      <c r="A96" t="s">
        <v>46</v>
      </c>
      <c r="B96" t="s">
        <v>47</v>
      </c>
    </row>
    <row r="97" spans="1:2" x14ac:dyDescent="0.2">
      <c r="A97" t="s">
        <v>3</v>
      </c>
      <c r="B97" t="s">
        <v>2</v>
      </c>
    </row>
    <row r="98" spans="1:2" x14ac:dyDescent="0.2">
      <c r="A98" t="s">
        <v>9</v>
      </c>
      <c r="B98" t="s">
        <v>158</v>
      </c>
    </row>
    <row r="99" spans="1:2" x14ac:dyDescent="0.2">
      <c r="A99" t="s">
        <v>196</v>
      </c>
      <c r="B99" t="s">
        <v>197</v>
      </c>
    </row>
    <row r="100" spans="1:2" x14ac:dyDescent="0.2">
      <c r="A100" t="s">
        <v>42</v>
      </c>
      <c r="B100" t="s">
        <v>44</v>
      </c>
    </row>
    <row r="101" spans="1:2" x14ac:dyDescent="0.2">
      <c r="A101" t="s">
        <v>19</v>
      </c>
      <c r="B101" t="s">
        <v>156</v>
      </c>
    </row>
    <row r="102" spans="1:2" x14ac:dyDescent="0.2">
      <c r="A102" t="s">
        <v>199</v>
      </c>
      <c r="B102" t="s">
        <v>101</v>
      </c>
    </row>
    <row r="103" spans="1:2" x14ac:dyDescent="0.2">
      <c r="A103" t="s">
        <v>16</v>
      </c>
      <c r="B103" t="s">
        <v>202</v>
      </c>
    </row>
    <row r="104" spans="1:2" x14ac:dyDescent="0.2">
      <c r="A104" t="s">
        <v>17</v>
      </c>
      <c r="B104" t="s">
        <v>79</v>
      </c>
    </row>
    <row r="105" spans="1:2" x14ac:dyDescent="0.2">
      <c r="A105" t="s">
        <v>154</v>
      </c>
      <c r="B105" t="s">
        <v>155</v>
      </c>
    </row>
    <row r="106" spans="1:2" x14ac:dyDescent="0.2">
      <c r="A106" t="s">
        <v>43</v>
      </c>
      <c r="B106" t="s">
        <v>81</v>
      </c>
    </row>
    <row r="107" spans="1:2" x14ac:dyDescent="0.2">
      <c r="A107" t="s">
        <v>203</v>
      </c>
      <c r="B107" t="s">
        <v>204</v>
      </c>
    </row>
    <row r="108" spans="1:2" x14ac:dyDescent="0.2">
      <c r="A108" t="s">
        <v>4</v>
      </c>
      <c r="B108" s="10" t="s">
        <v>212</v>
      </c>
    </row>
    <row r="109" spans="1:2" x14ac:dyDescent="0.2">
      <c r="A109" t="s">
        <v>192</v>
      </c>
      <c r="B109" t="s">
        <v>193</v>
      </c>
    </row>
    <row r="110" spans="1:2" x14ac:dyDescent="0.2">
      <c r="A110" t="s">
        <v>13</v>
      </c>
      <c r="B110" t="s">
        <v>12</v>
      </c>
    </row>
    <row r="111" spans="1:2" x14ac:dyDescent="0.2">
      <c r="A111" t="s">
        <v>57</v>
      </c>
      <c r="B111" t="s">
        <v>12</v>
      </c>
    </row>
    <row r="112" spans="1:2" x14ac:dyDescent="0.2">
      <c r="A112" t="s">
        <v>6</v>
      </c>
      <c r="B112" t="s">
        <v>131</v>
      </c>
    </row>
    <row r="113" spans="1:2" x14ac:dyDescent="0.2">
      <c r="A113" t="s">
        <v>210</v>
      </c>
      <c r="B113" t="s">
        <v>211</v>
      </c>
    </row>
    <row r="114" spans="1:2" x14ac:dyDescent="0.2">
      <c r="A114" t="s">
        <v>21</v>
      </c>
      <c r="B114" t="s">
        <v>20</v>
      </c>
    </row>
    <row r="115" spans="1:2" x14ac:dyDescent="0.2">
      <c r="A115" t="s">
        <v>16</v>
      </c>
      <c r="B115" t="s">
        <v>45</v>
      </c>
    </row>
    <row r="116" spans="1:2" x14ac:dyDescent="0.2">
      <c r="A116" t="s">
        <v>168</v>
      </c>
      <c r="B116" t="s">
        <v>2</v>
      </c>
    </row>
    <row r="117" spans="1:2" x14ac:dyDescent="0.2">
      <c r="A117" t="s">
        <v>8</v>
      </c>
      <c r="B117" t="s">
        <v>7</v>
      </c>
    </row>
    <row r="118" spans="1:2" x14ac:dyDescent="0.2">
      <c r="A118" t="s">
        <v>19</v>
      </c>
      <c r="B118" t="s">
        <v>83</v>
      </c>
    </row>
    <row r="119" spans="1:2" x14ac:dyDescent="0.2">
      <c r="A119" t="s">
        <v>9</v>
      </c>
      <c r="B119" t="s">
        <v>207</v>
      </c>
    </row>
    <row r="120" spans="1:2" x14ac:dyDescent="0.2">
      <c r="A120" t="s">
        <v>40</v>
      </c>
      <c r="B120" t="s">
        <v>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77"/>
  <sheetViews>
    <sheetView zoomScale="70" zoomScaleNormal="70" workbookViewId="0">
      <selection activeCell="A75" sqref="A75:XFD75"/>
    </sheetView>
  </sheetViews>
  <sheetFormatPr defaultRowHeight="12.75" x14ac:dyDescent="0.2"/>
  <cols>
    <col min="1" max="1" width="20.140625" bestFit="1" customWidth="1"/>
    <col min="2" max="2" width="9.7109375" bestFit="1" customWidth="1"/>
    <col min="3" max="3" width="12.85546875" bestFit="1" customWidth="1"/>
    <col min="4" max="4" width="11.7109375" bestFit="1" customWidth="1"/>
    <col min="5" max="5" width="15.85546875" bestFit="1" customWidth="1"/>
    <col min="6" max="6" width="11" bestFit="1" customWidth="1"/>
    <col min="7" max="7" width="17.28515625" bestFit="1" customWidth="1"/>
    <col min="8" max="8" width="15.85546875" bestFit="1" customWidth="1"/>
    <col min="9" max="9" width="13.5703125" bestFit="1" customWidth="1"/>
    <col min="10" max="10" width="17.42578125" bestFit="1" customWidth="1"/>
    <col min="11" max="11" width="11.5703125" bestFit="1" customWidth="1"/>
    <col min="12" max="12" width="13" bestFit="1" customWidth="1"/>
  </cols>
  <sheetData>
    <row r="1" spans="1:12" x14ac:dyDescent="0.2">
      <c r="A1" s="10" t="s">
        <v>229</v>
      </c>
      <c r="B1" s="10" t="s">
        <v>217</v>
      </c>
      <c r="C1" s="10" t="s">
        <v>276</v>
      </c>
      <c r="D1" s="10" t="s">
        <v>264</v>
      </c>
      <c r="E1" s="10" t="s">
        <v>230</v>
      </c>
      <c r="F1" s="10" t="s">
        <v>286</v>
      </c>
      <c r="G1" s="10" t="s">
        <v>218</v>
      </c>
      <c r="H1" s="10" t="s">
        <v>265</v>
      </c>
      <c r="I1" s="10" t="s">
        <v>256</v>
      </c>
      <c r="J1" s="10" t="s">
        <v>287</v>
      </c>
      <c r="K1" s="10" t="s">
        <v>288</v>
      </c>
      <c r="L1" s="10" t="s">
        <v>228</v>
      </c>
    </row>
    <row r="2" spans="1:12" ht="15" x14ac:dyDescent="0.2">
      <c r="A2" s="30" t="s">
        <v>35</v>
      </c>
      <c r="B2" s="132">
        <f>IFERROR(VLOOKUP($A2,table1[],3,FALSE),"-")</f>
        <v>6.12</v>
      </c>
      <c r="C2" s="132">
        <f>IFERROR(VLOOKUP($A2,table2[],3,FALSE),"-")</f>
        <v>1.9</v>
      </c>
      <c r="D2" s="132">
        <f>IFERROR(VLOOKUP($A2,table3[],3,FALSE),"-")</f>
        <v>5.34</v>
      </c>
      <c r="E2" s="132">
        <f>IFERROR(VLOOKUP($A2,table4[],3,FALSE),"-")</f>
        <v>8.86</v>
      </c>
      <c r="F2" s="132">
        <f>IFERROR(VLOOKUP($A2,table5[],3,FALSE),"-")</f>
        <v>2.61</v>
      </c>
      <c r="G2" s="132" t="str">
        <f>IFERROR(VLOOKUP($A2,table6[],3,FALSE),"-")</f>
        <v>-</v>
      </c>
      <c r="H2" s="132" t="str">
        <f>IFERROR(VLOOKUP($A2,table7[],12,FALSE),"-")</f>
        <v>-</v>
      </c>
      <c r="I2" s="132" t="str">
        <f>IFERROR(VLOOKUP($A2,table8[],3,FALSE),"-")</f>
        <v>-</v>
      </c>
      <c r="J2" s="132" t="str">
        <f>IFERROR(VLOOKUP($A2,table9[],3,FALSE),"-")</f>
        <v>-</v>
      </c>
      <c r="K2" s="132" t="str">
        <f>IFERROR(VLOOKUP($A2,table10[],3,FALSE),"-")</f>
        <v>-</v>
      </c>
      <c r="L2" s="119">
        <f>MAX(Table16[[#This Row],[Otay]:[Otay 4]])</f>
        <v>8.86</v>
      </c>
    </row>
    <row r="3" spans="1:12" ht="15" x14ac:dyDescent="0.2">
      <c r="A3" s="30" t="s">
        <v>268</v>
      </c>
      <c r="B3" s="151">
        <f>IFERROR(VLOOKUP($A3,table1[],3,FALSE),"-")</f>
        <v>1.95</v>
      </c>
      <c r="C3" s="151">
        <f>IFERROR(VLOOKUP($A3,table2[],3,FALSE),"-")</f>
        <v>2.11</v>
      </c>
      <c r="D3" s="151" t="str">
        <f>IFERROR(VLOOKUP($A3,table3[],3,FALSE),"-")</f>
        <v>-</v>
      </c>
      <c r="E3" s="151">
        <f>IFERROR(VLOOKUP($A3,table4[],3,FALSE),"-")</f>
        <v>0</v>
      </c>
      <c r="F3" s="151">
        <f>IFERROR(VLOOKUP($A3,table5[],3,FALSE),"-")</f>
        <v>8.69</v>
      </c>
      <c r="G3" s="151" t="str">
        <f>IFERROR(VLOOKUP($A3,table6[],3,FALSE),"-")</f>
        <v>-</v>
      </c>
      <c r="H3" s="151" t="str">
        <f>IFERROR(VLOOKUP($A3,table7[],12,FALSE),"-")</f>
        <v>-</v>
      </c>
      <c r="I3" s="151" t="str">
        <f>IFERROR(VLOOKUP($A3,table8[],3,FALSE),"-")</f>
        <v>-</v>
      </c>
      <c r="J3" s="151" t="str">
        <f>IFERROR(VLOOKUP($A3,table9[],3,FALSE),"-")</f>
        <v>-</v>
      </c>
      <c r="K3" s="151" t="str">
        <f>IFERROR(VLOOKUP($A3,table10[],3,FALSE),"-")</f>
        <v>-</v>
      </c>
      <c r="L3" s="119">
        <f>MAX(Table16[[#This Row],[Otay]:[Otay 4]])</f>
        <v>8.69</v>
      </c>
    </row>
    <row r="4" spans="1:12" ht="15" x14ac:dyDescent="0.2">
      <c r="A4" s="30" t="s">
        <v>105</v>
      </c>
      <c r="B4" s="151">
        <f>IFERROR(VLOOKUP($A4,table1[],3,FALSE),"-")</f>
        <v>2.96</v>
      </c>
      <c r="C4" s="151">
        <f>IFERROR(VLOOKUP($A4,table2[],3,FALSE),"-")</f>
        <v>2.75</v>
      </c>
      <c r="D4" s="151">
        <f>IFERROR(VLOOKUP($A4,table3[],3,FALSE),"-")</f>
        <v>6.1</v>
      </c>
      <c r="E4" s="151">
        <f>IFERROR(VLOOKUP($A4,table4[],3,FALSE),"-")</f>
        <v>2.37</v>
      </c>
      <c r="F4" s="151">
        <f>IFERROR(VLOOKUP($A4,table5[],3,FALSE),"-")</f>
        <v>0</v>
      </c>
      <c r="G4" s="151" t="str">
        <f>IFERROR(VLOOKUP($A4,table6[],3,FALSE),"-")</f>
        <v>-</v>
      </c>
      <c r="H4" s="151" t="str">
        <f>IFERROR(VLOOKUP($A4,table7[],12,FALSE),"-")</f>
        <v>-</v>
      </c>
      <c r="I4" s="151" t="str">
        <f>IFERROR(VLOOKUP($A4,table8[],3,FALSE),"-")</f>
        <v>-</v>
      </c>
      <c r="J4" s="151" t="str">
        <f>IFERROR(VLOOKUP($A4,table9[],3,FALSE),"-")</f>
        <v>-</v>
      </c>
      <c r="K4" s="151" t="str">
        <f>IFERROR(VLOOKUP($A4,table10[],3,FALSE),"-")</f>
        <v>-</v>
      </c>
      <c r="L4" s="119">
        <f>MAX(Table16[[#This Row],[Otay]:[Otay 4]])</f>
        <v>6.1</v>
      </c>
    </row>
    <row r="5" spans="1:12" ht="15" x14ac:dyDescent="0.2">
      <c r="A5" s="30" t="s">
        <v>234</v>
      </c>
      <c r="B5" s="151">
        <f>IFERROR(VLOOKUP($A5,table1[],3,FALSE),"-")</f>
        <v>5.15</v>
      </c>
      <c r="C5" s="151">
        <f>IFERROR(VLOOKUP($A5,table2[],3,FALSE),"-")</f>
        <v>3.14</v>
      </c>
      <c r="D5" s="151">
        <f>IFERROR(VLOOKUP($A5,table3[],3,FALSE),"-")</f>
        <v>0</v>
      </c>
      <c r="E5" s="151">
        <f>IFERROR(VLOOKUP($A5,table4[],3,FALSE),"-")</f>
        <v>2.99</v>
      </c>
      <c r="F5" s="151">
        <f>IFERROR(VLOOKUP($A5,table5[],3,FALSE),"-")</f>
        <v>3.51</v>
      </c>
      <c r="G5" s="151" t="str">
        <f>IFERROR(VLOOKUP($A5,table6[],3,FALSE),"-")</f>
        <v>-</v>
      </c>
      <c r="H5" s="151" t="str">
        <f>IFERROR(VLOOKUP($A5,table7[],12,FALSE),"-")</f>
        <v>-</v>
      </c>
      <c r="I5" s="151" t="str">
        <f>IFERROR(VLOOKUP($A5,table8[],3,FALSE),"-")</f>
        <v>-</v>
      </c>
      <c r="J5" s="151" t="str">
        <f>IFERROR(VLOOKUP($A5,table9[],3,FALSE),"-")</f>
        <v>-</v>
      </c>
      <c r="K5" s="151" t="str">
        <f>IFERROR(VLOOKUP($A5,table10[],3,FALSE),"-")</f>
        <v>-</v>
      </c>
      <c r="L5" s="119">
        <f>MAX(Table16[[#This Row],[Otay]:[Otay 4]])</f>
        <v>5.15</v>
      </c>
    </row>
    <row r="6" spans="1:12" ht="15" x14ac:dyDescent="0.2">
      <c r="A6" s="30" t="s">
        <v>33</v>
      </c>
      <c r="B6" s="151">
        <f>IFERROR(VLOOKUP($A6,table1[],3,FALSE),"-")</f>
        <v>3.88</v>
      </c>
      <c r="C6" s="151">
        <f>IFERROR(VLOOKUP($A6,table2[],3,FALSE),"-")</f>
        <v>4.92</v>
      </c>
      <c r="D6" s="151">
        <f>IFERROR(VLOOKUP($A6,table3[],3,FALSE),"-")</f>
        <v>1.75</v>
      </c>
      <c r="E6" s="151">
        <f>IFERROR(VLOOKUP($A6,table4[],3,FALSE),"-")</f>
        <v>2.2000000000000002</v>
      </c>
      <c r="F6" s="151">
        <f>IFERROR(VLOOKUP($A6,table5[],3,FALSE),"-")</f>
        <v>0</v>
      </c>
      <c r="G6" s="151" t="str">
        <f>IFERROR(VLOOKUP($A6,table6[],3,FALSE),"-")</f>
        <v>-</v>
      </c>
      <c r="H6" s="151" t="str">
        <f>IFERROR(VLOOKUP($A6,table7[],12,FALSE),"-")</f>
        <v>-</v>
      </c>
      <c r="I6" s="151" t="str">
        <f>IFERROR(VLOOKUP($A6,table8[],3,FALSE),"-")</f>
        <v>-</v>
      </c>
      <c r="J6" s="151" t="str">
        <f>IFERROR(VLOOKUP($A6,table9[],3,FALSE),"-")</f>
        <v>-</v>
      </c>
      <c r="K6" s="151" t="str">
        <f>IFERROR(VLOOKUP($A6,table10[],3,FALSE),"-")</f>
        <v>-</v>
      </c>
      <c r="L6" s="119">
        <f>MAX(Table16[[#This Row],[Otay]:[Otay 4]])</f>
        <v>4.92</v>
      </c>
    </row>
    <row r="7" spans="1:12" ht="15" x14ac:dyDescent="0.2">
      <c r="A7" s="30" t="s">
        <v>240</v>
      </c>
      <c r="B7" s="151" t="str">
        <f>IFERROR(VLOOKUP($A7,table1[],3,FALSE),"-")</f>
        <v>-</v>
      </c>
      <c r="C7" s="151" t="str">
        <f>IFERROR(VLOOKUP($A7,table2[],3,FALSE),"-")</f>
        <v>-</v>
      </c>
      <c r="D7" s="151">
        <f>IFERROR(VLOOKUP($A7,table3[],3,FALSE),"-")</f>
        <v>3.17</v>
      </c>
      <c r="E7" s="151">
        <f>IFERROR(VLOOKUP($A7,table4[],3,FALSE),"-")</f>
        <v>0</v>
      </c>
      <c r="F7" s="151">
        <f>IFERROR(VLOOKUP($A7,table5[],3,FALSE),"-")</f>
        <v>4.8499999999999996</v>
      </c>
      <c r="G7" s="151" t="str">
        <f>IFERROR(VLOOKUP($A7,table6[],3,FALSE),"-")</f>
        <v>-</v>
      </c>
      <c r="H7" s="151" t="str">
        <f>IFERROR(VLOOKUP($A7,table7[],12,FALSE),"-")</f>
        <v>-</v>
      </c>
      <c r="I7" s="151" t="str">
        <f>IFERROR(VLOOKUP($A7,table8[],3,FALSE),"-")</f>
        <v>-</v>
      </c>
      <c r="J7" s="151" t="str">
        <f>IFERROR(VLOOKUP($A7,table9[],3,FALSE),"-")</f>
        <v>-</v>
      </c>
      <c r="K7" s="151" t="str">
        <f>IFERROR(VLOOKUP($A7,table10[],3,FALSE),"-")</f>
        <v>-</v>
      </c>
      <c r="L7" s="119">
        <f>MAX(Table16[[#This Row],[Otay]:[Otay 4]])</f>
        <v>4.8499999999999996</v>
      </c>
    </row>
    <row r="8" spans="1:12" ht="15" x14ac:dyDescent="0.2">
      <c r="A8" s="131" t="s">
        <v>191</v>
      </c>
      <c r="B8" s="151">
        <f>IFERROR(VLOOKUP($A8,table1[],3,FALSE),"-")</f>
        <v>3.98</v>
      </c>
      <c r="C8" s="151">
        <f>IFERROR(VLOOKUP($A8,table2[],3,FALSE),"-")</f>
        <v>3.44</v>
      </c>
      <c r="D8" s="151" t="str">
        <f>IFERROR(VLOOKUP($A8,table3[],3,FALSE),"-")</f>
        <v>-</v>
      </c>
      <c r="E8" s="151" t="str">
        <f>IFERROR(VLOOKUP($A8,table4[],3,FALSE),"-")</f>
        <v>-</v>
      </c>
      <c r="F8" s="151">
        <f>IFERROR(VLOOKUP($A8,table5[],3,FALSE),"-")</f>
        <v>0</v>
      </c>
      <c r="G8" s="151" t="str">
        <f>IFERROR(VLOOKUP($A8,table6[],3,FALSE),"-")</f>
        <v>-</v>
      </c>
      <c r="H8" s="151" t="str">
        <f>IFERROR(VLOOKUP($A8,table7[],12,FALSE),"-")</f>
        <v>-</v>
      </c>
      <c r="I8" s="151" t="str">
        <f>IFERROR(VLOOKUP($A8,table8[],3,FALSE),"-")</f>
        <v>-</v>
      </c>
      <c r="J8" s="151" t="str">
        <f>IFERROR(VLOOKUP($A8,table9[],3,FALSE),"-")</f>
        <v>-</v>
      </c>
      <c r="K8" s="151" t="str">
        <f>IFERROR(VLOOKUP($A8,table10[],3,FALSE),"-")</f>
        <v>-</v>
      </c>
      <c r="L8" s="119">
        <f>MAX(Table16[[#This Row],[Otay]:[Otay 4]])</f>
        <v>3.98</v>
      </c>
    </row>
    <row r="9" spans="1:12" ht="15" x14ac:dyDescent="0.2">
      <c r="A9" s="30" t="s">
        <v>148</v>
      </c>
      <c r="B9" s="151">
        <f>IFERROR(VLOOKUP($A9,table1[],3,FALSE),"-")</f>
        <v>0</v>
      </c>
      <c r="C9" s="151">
        <f>IFERROR(VLOOKUP($A9,table2[],3,FALSE),"-")</f>
        <v>3.5</v>
      </c>
      <c r="D9" s="151">
        <f>IFERROR(VLOOKUP($A9,table3[],3,FALSE),"-")</f>
        <v>2.76</v>
      </c>
      <c r="E9" s="151">
        <f>IFERROR(VLOOKUP($A9,table4[],3,FALSE),"-")</f>
        <v>3.93</v>
      </c>
      <c r="F9" s="151">
        <f>IFERROR(VLOOKUP($A9,table5[],3,FALSE),"-")</f>
        <v>3.54</v>
      </c>
      <c r="G9" s="151" t="str">
        <f>IFERROR(VLOOKUP($A9,table6[],3,FALSE),"-")</f>
        <v>-</v>
      </c>
      <c r="H9" s="151" t="str">
        <f>IFERROR(VLOOKUP($A9,table7[],12,FALSE),"-")</f>
        <v>-</v>
      </c>
      <c r="I9" s="151" t="str">
        <f>IFERROR(VLOOKUP($A9,table8[],3,FALSE),"-")</f>
        <v>-</v>
      </c>
      <c r="J9" s="151" t="str">
        <f>IFERROR(VLOOKUP($A9,table9[],3,FALSE),"-")</f>
        <v>-</v>
      </c>
      <c r="K9" s="151" t="str">
        <f>IFERROR(VLOOKUP($A9,table10[],3,FALSE),"-")</f>
        <v>-</v>
      </c>
      <c r="L9" s="119">
        <f>MAX(Table16[[#This Row],[Otay]:[Otay 4]])</f>
        <v>3.93</v>
      </c>
    </row>
    <row r="10" spans="1:12" ht="15" x14ac:dyDescent="0.2">
      <c r="A10" s="30" t="s">
        <v>177</v>
      </c>
      <c r="B10" s="151">
        <f>IFERROR(VLOOKUP($A10,table1[],3,FALSE),"-")</f>
        <v>2.67</v>
      </c>
      <c r="C10" s="151" t="str">
        <f>IFERROR(VLOOKUP($A10,table2[],3,FALSE),"-")</f>
        <v>-</v>
      </c>
      <c r="D10" s="151">
        <f>IFERROR(VLOOKUP($A10,table3[],3,FALSE),"-")</f>
        <v>0</v>
      </c>
      <c r="E10" s="151">
        <f>IFERROR(VLOOKUP($A10,table4[],3,FALSE),"-")</f>
        <v>3.82</v>
      </c>
      <c r="F10" s="151">
        <f>IFERROR(VLOOKUP($A10,table5[],3,FALSE),"-")</f>
        <v>0</v>
      </c>
      <c r="G10" s="151" t="str">
        <f>IFERROR(VLOOKUP($A10,table6[],3,FALSE),"-")</f>
        <v>-</v>
      </c>
      <c r="H10" s="151" t="str">
        <f>IFERROR(VLOOKUP($A10,table7[],12,FALSE),"-")</f>
        <v>-</v>
      </c>
      <c r="I10" s="151" t="str">
        <f>IFERROR(VLOOKUP($A10,table8[],3,FALSE),"-")</f>
        <v>-</v>
      </c>
      <c r="J10" s="151" t="str">
        <f>IFERROR(VLOOKUP($A10,table9[],3,FALSE),"-")</f>
        <v>-</v>
      </c>
      <c r="K10" s="151" t="str">
        <f>IFERROR(VLOOKUP($A10,table10[],3,FALSE),"-")</f>
        <v>-</v>
      </c>
      <c r="L10" s="119">
        <f>MAX(Table16[[#This Row],[Otay]:[Otay 4]])</f>
        <v>3.82</v>
      </c>
    </row>
    <row r="11" spans="1:12" ht="15" x14ac:dyDescent="0.2">
      <c r="A11" s="30" t="s">
        <v>32</v>
      </c>
      <c r="B11" s="151">
        <f>IFERROR(VLOOKUP($A11,table1[],3,FALSE),"-")</f>
        <v>3.76</v>
      </c>
      <c r="C11" s="151">
        <f>IFERROR(VLOOKUP($A11,table2[],3,FALSE),"-")</f>
        <v>2.62</v>
      </c>
      <c r="D11" s="151">
        <f>IFERROR(VLOOKUP($A11,table3[],3,FALSE),"-")</f>
        <v>2.37</v>
      </c>
      <c r="E11" s="151">
        <f>IFERROR(VLOOKUP($A11,table4[],3,FALSE),"-")</f>
        <v>2.0699999999999998</v>
      </c>
      <c r="F11" s="151">
        <f>IFERROR(VLOOKUP($A11,table5[],3,FALSE),"-")</f>
        <v>0</v>
      </c>
      <c r="G11" s="151" t="str">
        <f>IFERROR(VLOOKUP($A11,table6[],3,FALSE),"-")</f>
        <v>-</v>
      </c>
      <c r="H11" s="151" t="str">
        <f>IFERROR(VLOOKUP($A11,table7[],12,FALSE),"-")</f>
        <v>-</v>
      </c>
      <c r="I11" s="151" t="str">
        <f>IFERROR(VLOOKUP($A11,table8[],3,FALSE),"-")</f>
        <v>-</v>
      </c>
      <c r="J11" s="151" t="str">
        <f>IFERROR(VLOOKUP($A11,table9[],3,FALSE),"-")</f>
        <v>-</v>
      </c>
      <c r="K11" s="151" t="str">
        <f>IFERROR(VLOOKUP($A11,table10[],3,FALSE),"-")</f>
        <v>-</v>
      </c>
      <c r="L11" s="119">
        <f>MAX(Table16[[#This Row],[Otay]:[Otay 4]])</f>
        <v>3.76</v>
      </c>
    </row>
    <row r="12" spans="1:12" ht="15" x14ac:dyDescent="0.2">
      <c r="A12" s="30" t="s">
        <v>102</v>
      </c>
      <c r="B12" s="151">
        <f>IFERROR(VLOOKUP($A12,table1[],3,FALSE),"-")</f>
        <v>2.35</v>
      </c>
      <c r="C12" s="151">
        <f>IFERROR(VLOOKUP($A12,table2[],3,FALSE),"-")</f>
        <v>2.0499999999999998</v>
      </c>
      <c r="D12" s="151">
        <f>IFERROR(VLOOKUP($A12,table3[],3,FALSE),"-")</f>
        <v>3.7</v>
      </c>
      <c r="E12" s="151">
        <f>IFERROR(VLOOKUP($A12,table4[],3,FALSE),"-")</f>
        <v>2.68</v>
      </c>
      <c r="F12" s="151">
        <f>IFERROR(VLOOKUP($A12,table5[],3,FALSE),"-")</f>
        <v>2.67</v>
      </c>
      <c r="G12" s="151" t="str">
        <f>IFERROR(VLOOKUP($A12,table6[],3,FALSE),"-")</f>
        <v>-</v>
      </c>
      <c r="H12" s="151" t="str">
        <f>IFERROR(VLOOKUP($A12,table7[],12,FALSE),"-")</f>
        <v>-</v>
      </c>
      <c r="I12" s="151" t="str">
        <f>IFERROR(VLOOKUP($A12,table8[],3,FALSE),"-")</f>
        <v>-</v>
      </c>
      <c r="J12" s="151" t="str">
        <f>IFERROR(VLOOKUP($A12,table9[],3,FALSE),"-")</f>
        <v>-</v>
      </c>
      <c r="K12" s="151" t="str">
        <f>IFERROR(VLOOKUP($A12,table10[],3,FALSE),"-")</f>
        <v>-</v>
      </c>
      <c r="L12" s="119">
        <f>MAX(Table16[[#This Row],[Otay]:[Otay 4]])</f>
        <v>3.7</v>
      </c>
    </row>
    <row r="13" spans="1:12" ht="15" x14ac:dyDescent="0.2">
      <c r="A13" s="30" t="s">
        <v>145</v>
      </c>
      <c r="B13" s="151">
        <f>IFERROR(VLOOKUP($A13,table1[],3,FALSE),"-")</f>
        <v>3.08</v>
      </c>
      <c r="C13" s="151">
        <f>IFERROR(VLOOKUP($A13,table2[],3,FALSE),"-")</f>
        <v>2.34</v>
      </c>
      <c r="D13" s="151">
        <f>IFERROR(VLOOKUP($A13,table3[],3,FALSE),"-")</f>
        <v>3.02</v>
      </c>
      <c r="E13" s="151">
        <f>IFERROR(VLOOKUP($A13,table4[],3,FALSE),"-")</f>
        <v>3.64</v>
      </c>
      <c r="F13" s="151">
        <f>IFERROR(VLOOKUP($A13,table5[],3,FALSE),"-")</f>
        <v>0</v>
      </c>
      <c r="G13" s="151" t="str">
        <f>IFERROR(VLOOKUP($A13,table6[],3,FALSE),"-")</f>
        <v>-</v>
      </c>
      <c r="H13" s="151" t="str">
        <f>IFERROR(VLOOKUP($A13,table7[],12,FALSE),"-")</f>
        <v>-</v>
      </c>
      <c r="I13" s="151" t="str">
        <f>IFERROR(VLOOKUP($A13,table8[],3,FALSE),"-")</f>
        <v>-</v>
      </c>
      <c r="J13" s="151" t="str">
        <f>IFERROR(VLOOKUP($A13,table9[],3,FALSE),"-")</f>
        <v>-</v>
      </c>
      <c r="K13" s="151" t="str">
        <f>IFERROR(VLOOKUP($A13,table10[],3,FALSE),"-")</f>
        <v>-</v>
      </c>
      <c r="L13" s="119">
        <f>MAX(Table16[[#This Row],[Otay]:[Otay 4]])</f>
        <v>3.64</v>
      </c>
    </row>
    <row r="14" spans="1:12" ht="15" x14ac:dyDescent="0.2">
      <c r="A14" s="30" t="s">
        <v>48</v>
      </c>
      <c r="B14" s="151">
        <f>IFERROR(VLOOKUP($A14,table1[],3,FALSE),"-")</f>
        <v>2.02</v>
      </c>
      <c r="C14" s="151">
        <f>IFERROR(VLOOKUP($A14,table2[],3,FALSE),"-")</f>
        <v>2.4300000000000002</v>
      </c>
      <c r="D14" s="151">
        <f>IFERROR(VLOOKUP($A14,table3[],3,FALSE),"-")</f>
        <v>3.52</v>
      </c>
      <c r="E14" s="151">
        <f>IFERROR(VLOOKUP($A14,table4[],3,FALSE),"-")</f>
        <v>2.8</v>
      </c>
      <c r="F14" s="151">
        <f>IFERROR(VLOOKUP($A14,table5[],3,FALSE),"-")</f>
        <v>0</v>
      </c>
      <c r="G14" s="151" t="str">
        <f>IFERROR(VLOOKUP($A14,table6[],3,FALSE),"-")</f>
        <v>-</v>
      </c>
      <c r="H14" s="151" t="str">
        <f>IFERROR(VLOOKUP($A14,table7[],12,FALSE),"-")</f>
        <v>-</v>
      </c>
      <c r="I14" s="151" t="str">
        <f>IFERROR(VLOOKUP($A14,table8[],3,FALSE),"-")</f>
        <v>-</v>
      </c>
      <c r="J14" s="151" t="str">
        <f>IFERROR(VLOOKUP($A14,table9[],3,FALSE),"-")</f>
        <v>-</v>
      </c>
      <c r="K14" s="151" t="str">
        <f>IFERROR(VLOOKUP($A14,table10[],3,FALSE),"-")</f>
        <v>-</v>
      </c>
      <c r="L14" s="119">
        <f>MAX(Table16[[#This Row],[Otay]:[Otay 4]])</f>
        <v>3.52</v>
      </c>
    </row>
    <row r="15" spans="1:12" ht="15" x14ac:dyDescent="0.2">
      <c r="A15" s="131" t="s">
        <v>277</v>
      </c>
      <c r="B15" s="151" t="str">
        <f>IFERROR(VLOOKUP($A15,table1[],3,FALSE),"-")</f>
        <v>-</v>
      </c>
      <c r="C15" s="151">
        <f>IFERROR(VLOOKUP($A15,table2[],3,FALSE),"-")</f>
        <v>1.8</v>
      </c>
      <c r="D15" s="151">
        <f>IFERROR(VLOOKUP($A15,table3[],3,FALSE),"-")</f>
        <v>3.52</v>
      </c>
      <c r="E15" s="151">
        <f>IFERROR(VLOOKUP($A15,table4[],3,FALSE),"-")</f>
        <v>2.94</v>
      </c>
      <c r="F15" s="151">
        <f>IFERROR(VLOOKUP($A15,table5[],3,FALSE),"-")</f>
        <v>2.3199999999999998</v>
      </c>
      <c r="G15" s="151" t="str">
        <f>IFERROR(VLOOKUP($A15,table6[],3,FALSE),"-")</f>
        <v>-</v>
      </c>
      <c r="H15" s="151" t="str">
        <f>IFERROR(VLOOKUP($A15,table7[],12,FALSE),"-")</f>
        <v>-</v>
      </c>
      <c r="I15" s="151" t="str">
        <f>IFERROR(VLOOKUP($A15,table8[],3,FALSE),"-")</f>
        <v>-</v>
      </c>
      <c r="J15" s="151" t="str">
        <f>IFERROR(VLOOKUP($A15,table9[],3,FALSE),"-")</f>
        <v>-</v>
      </c>
      <c r="K15" s="151" t="str">
        <f>IFERROR(VLOOKUP($A15,table10[],3,FALSE),"-")</f>
        <v>-</v>
      </c>
      <c r="L15" s="119">
        <f>MAX(Table16[[#This Row],[Otay]:[Otay 4]])</f>
        <v>3.52</v>
      </c>
    </row>
    <row r="16" spans="1:12" ht="15" x14ac:dyDescent="0.2">
      <c r="A16" s="30" t="s">
        <v>266</v>
      </c>
      <c r="B16" s="151" t="str">
        <f>IFERROR(VLOOKUP($A16,table1[],3,FALSE),"-")</f>
        <v>-</v>
      </c>
      <c r="C16" s="151">
        <f>IFERROR(VLOOKUP($A16,table2[],3,FALSE),"-")</f>
        <v>2.85</v>
      </c>
      <c r="D16" s="151">
        <f>IFERROR(VLOOKUP($A16,table3[],3,FALSE),"-")</f>
        <v>0</v>
      </c>
      <c r="E16" s="151">
        <f>IFERROR(VLOOKUP($A16,table4[],3,FALSE),"-")</f>
        <v>3.49</v>
      </c>
      <c r="F16" s="151">
        <f>IFERROR(VLOOKUP($A16,table5[],3,FALSE),"-")</f>
        <v>2.34</v>
      </c>
      <c r="G16" s="151" t="str">
        <f>IFERROR(VLOOKUP($A16,table6[],3,FALSE),"-")</f>
        <v>-</v>
      </c>
      <c r="H16" s="151" t="str">
        <f>IFERROR(VLOOKUP($A16,table7[],12,FALSE),"-")</f>
        <v>-</v>
      </c>
      <c r="I16" s="151" t="str">
        <f>IFERROR(VLOOKUP($A16,table8[],3,FALSE),"-")</f>
        <v>-</v>
      </c>
      <c r="J16" s="151" t="str">
        <f>IFERROR(VLOOKUP($A16,table9[],3,FALSE),"-")</f>
        <v>-</v>
      </c>
      <c r="K16" s="151" t="str">
        <f>IFERROR(VLOOKUP($A16,table10[],3,FALSE),"-")</f>
        <v>-</v>
      </c>
      <c r="L16" s="119">
        <f>MAX(Table16[[#This Row],[Otay]:[Otay 4]])</f>
        <v>3.49</v>
      </c>
    </row>
    <row r="17" spans="1:12" ht="15" x14ac:dyDescent="0.2">
      <c r="A17" s="30" t="s">
        <v>170</v>
      </c>
      <c r="B17" s="151">
        <f>IFERROR(VLOOKUP($A17,table1[],3,FALSE),"-")</f>
        <v>3.47</v>
      </c>
      <c r="C17" s="151">
        <f>IFERROR(VLOOKUP($A17,table2[],3,FALSE),"-")</f>
        <v>2.0299999999999998</v>
      </c>
      <c r="D17" s="151">
        <f>IFERROR(VLOOKUP($A17,table3[],3,FALSE),"-")</f>
        <v>2.68</v>
      </c>
      <c r="E17" s="151">
        <f>IFERROR(VLOOKUP($A17,table4[],3,FALSE),"-")</f>
        <v>1.98</v>
      </c>
      <c r="F17" s="151">
        <f>IFERROR(VLOOKUP($A17,table5[],3,FALSE),"-")</f>
        <v>2.9</v>
      </c>
      <c r="G17" s="151" t="str">
        <f>IFERROR(VLOOKUP($A17,table6[],3,FALSE),"-")</f>
        <v>-</v>
      </c>
      <c r="H17" s="151" t="str">
        <f>IFERROR(VLOOKUP($A17,table7[],12,FALSE),"-")</f>
        <v>-</v>
      </c>
      <c r="I17" s="151" t="str">
        <f>IFERROR(VLOOKUP($A17,table8[],3,FALSE),"-")</f>
        <v>-</v>
      </c>
      <c r="J17" s="151" t="str">
        <f>IFERROR(VLOOKUP($A17,table9[],3,FALSE),"-")</f>
        <v>-</v>
      </c>
      <c r="K17" s="151" t="str">
        <f>IFERROR(VLOOKUP($A17,table10[],3,FALSE),"-")</f>
        <v>-</v>
      </c>
      <c r="L17" s="119">
        <f>MAX(Table16[[#This Row],[Otay]:[Otay 4]])</f>
        <v>3.47</v>
      </c>
    </row>
    <row r="18" spans="1:12" ht="15" x14ac:dyDescent="0.2">
      <c r="A18" s="30" t="s">
        <v>175</v>
      </c>
      <c r="B18" s="151">
        <f>IFERROR(VLOOKUP($A18,table1[],3,FALSE),"-")</f>
        <v>2.65</v>
      </c>
      <c r="C18" s="151">
        <f>IFERROR(VLOOKUP($A18,table2[],3,FALSE),"-")</f>
        <v>2.35</v>
      </c>
      <c r="D18" s="151">
        <f>IFERROR(VLOOKUP($A18,table3[],3,FALSE),"-")</f>
        <v>3.46</v>
      </c>
      <c r="E18" s="151">
        <f>IFERROR(VLOOKUP($A18,table4[],3,FALSE),"-")</f>
        <v>2.76</v>
      </c>
      <c r="F18" s="151">
        <f>IFERROR(VLOOKUP($A18,table5[],3,FALSE),"-")</f>
        <v>0</v>
      </c>
      <c r="G18" s="151" t="str">
        <f>IFERROR(VLOOKUP($A18,table6[],3,FALSE),"-")</f>
        <v>-</v>
      </c>
      <c r="H18" s="151" t="str">
        <f>IFERROR(VLOOKUP($A18,table7[],12,FALSE),"-")</f>
        <v>-</v>
      </c>
      <c r="I18" s="151" t="str">
        <f>IFERROR(VLOOKUP($A18,table8[],3,FALSE),"-")</f>
        <v>-</v>
      </c>
      <c r="J18" s="151" t="str">
        <f>IFERROR(VLOOKUP($A18,table9[],3,FALSE),"-")</f>
        <v>-</v>
      </c>
      <c r="K18" s="151" t="str">
        <f>IFERROR(VLOOKUP($A18,table10[],3,FALSE),"-")</f>
        <v>-</v>
      </c>
      <c r="L18" s="119">
        <f>MAX(Table16[[#This Row],[Otay]:[Otay 4]])</f>
        <v>3.46</v>
      </c>
    </row>
    <row r="19" spans="1:12" ht="15" x14ac:dyDescent="0.2">
      <c r="A19" s="30" t="s">
        <v>84</v>
      </c>
      <c r="B19" s="151">
        <f>IFERROR(VLOOKUP($A19,table1[],3,FALSE),"-")</f>
        <v>2.2799999999999998</v>
      </c>
      <c r="C19" s="151">
        <f>IFERROR(VLOOKUP($A19,table2[],3,FALSE),"-")</f>
        <v>1.33</v>
      </c>
      <c r="D19" s="151">
        <f>IFERROR(VLOOKUP($A19,table3[],3,FALSE),"-")</f>
        <v>1.89</v>
      </c>
      <c r="E19" s="151">
        <f>IFERROR(VLOOKUP($A19,table4[],3,FALSE),"-")</f>
        <v>3.31</v>
      </c>
      <c r="F19" s="151">
        <f>IFERROR(VLOOKUP($A19,table5[],3,FALSE),"-")</f>
        <v>2.19</v>
      </c>
      <c r="G19" s="151" t="str">
        <f>IFERROR(VLOOKUP($A19,table6[],3,FALSE),"-")</f>
        <v>-</v>
      </c>
      <c r="H19" s="151" t="str">
        <f>IFERROR(VLOOKUP($A19,table7[],12,FALSE),"-")</f>
        <v>-</v>
      </c>
      <c r="I19" s="151" t="str">
        <f>IFERROR(VLOOKUP($A19,table8[],3,FALSE),"-")</f>
        <v>-</v>
      </c>
      <c r="J19" s="151" t="str">
        <f>IFERROR(VLOOKUP($A19,table9[],3,FALSE),"-")</f>
        <v>-</v>
      </c>
      <c r="K19" s="151" t="str">
        <f>IFERROR(VLOOKUP($A19,table10[],3,FALSE),"-")</f>
        <v>-</v>
      </c>
      <c r="L19" s="119">
        <f>MAX(Table16[[#This Row],[Otay]:[Otay 4]])</f>
        <v>3.31</v>
      </c>
    </row>
    <row r="20" spans="1:12" ht="15" x14ac:dyDescent="0.2">
      <c r="A20" s="30" t="s">
        <v>255</v>
      </c>
      <c r="B20" s="151">
        <f>IFERROR(VLOOKUP($A20,table1[],3,FALSE),"-")</f>
        <v>3.05</v>
      </c>
      <c r="C20" s="151">
        <f>IFERROR(VLOOKUP($A20,table2[],3,FALSE),"-")</f>
        <v>0</v>
      </c>
      <c r="D20" s="151">
        <f>IFERROR(VLOOKUP($A20,table3[],3,FALSE),"-")</f>
        <v>3.23</v>
      </c>
      <c r="E20" s="151">
        <f>IFERROR(VLOOKUP($A20,table4[],3,FALSE),"-")</f>
        <v>3.23</v>
      </c>
      <c r="F20" s="151">
        <f>IFERROR(VLOOKUP($A20,table5[],3,FALSE),"-")</f>
        <v>3.25</v>
      </c>
      <c r="G20" s="151" t="str">
        <f>IFERROR(VLOOKUP($A20,table6[],3,FALSE),"-")</f>
        <v>-</v>
      </c>
      <c r="H20" s="151" t="str">
        <f>IFERROR(VLOOKUP($A20,table7[],12,FALSE),"-")</f>
        <v>-</v>
      </c>
      <c r="I20" s="151" t="str">
        <f>IFERROR(VLOOKUP($A20,table8[],3,FALSE),"-")</f>
        <v>-</v>
      </c>
      <c r="J20" s="151" t="str">
        <f>IFERROR(VLOOKUP($A20,table9[],3,FALSE),"-")</f>
        <v>-</v>
      </c>
      <c r="K20" s="151" t="str">
        <f>IFERROR(VLOOKUP($A20,table10[],3,FALSE),"-")</f>
        <v>-</v>
      </c>
      <c r="L20" s="119">
        <f>MAX(Table16[[#This Row],[Otay]:[Otay 4]])</f>
        <v>3.25</v>
      </c>
    </row>
    <row r="21" spans="1:12" ht="15" x14ac:dyDescent="0.2">
      <c r="A21" s="131" t="s">
        <v>269</v>
      </c>
      <c r="B21" s="151">
        <f>IFERROR(VLOOKUP($A21,table1[],3,FALSE),"-")</f>
        <v>3.21</v>
      </c>
      <c r="C21" s="151">
        <f>IFERROR(VLOOKUP($A21,table2[],3,FALSE),"-")</f>
        <v>2.4300000000000002</v>
      </c>
      <c r="D21" s="151">
        <f>IFERROR(VLOOKUP($A21,table3[],3,FALSE),"-")</f>
        <v>2.97</v>
      </c>
      <c r="E21" s="151">
        <f>IFERROR(VLOOKUP($A21,table4[],3,FALSE),"-")</f>
        <v>1.27</v>
      </c>
      <c r="F21" s="151">
        <f>IFERROR(VLOOKUP($A21,table5[],3,FALSE),"-")</f>
        <v>0</v>
      </c>
      <c r="G21" s="151" t="str">
        <f>IFERROR(VLOOKUP($A21,table6[],3,FALSE),"-")</f>
        <v>-</v>
      </c>
      <c r="H21" s="151" t="str">
        <f>IFERROR(VLOOKUP($A21,table7[],12,FALSE),"-")</f>
        <v>-</v>
      </c>
      <c r="I21" s="151" t="str">
        <f>IFERROR(VLOOKUP($A21,table8[],3,FALSE),"-")</f>
        <v>-</v>
      </c>
      <c r="J21" s="151" t="str">
        <f>IFERROR(VLOOKUP($A21,table9[],3,FALSE),"-")</f>
        <v>-</v>
      </c>
      <c r="K21" s="151" t="str">
        <f>IFERROR(VLOOKUP($A21,table10[],3,FALSE),"-")</f>
        <v>-</v>
      </c>
      <c r="L21" s="119">
        <f>MAX(Table16[[#This Row],[Otay]:[Otay 4]])</f>
        <v>3.21</v>
      </c>
    </row>
    <row r="22" spans="1:12" ht="15" x14ac:dyDescent="0.2">
      <c r="A22" s="30" t="s">
        <v>54</v>
      </c>
      <c r="B22" s="151">
        <f>IFERROR(VLOOKUP($A22,table1[],3,FALSE),"-")</f>
        <v>1.59</v>
      </c>
      <c r="C22" s="151">
        <f>IFERROR(VLOOKUP($A22,table2[],3,FALSE),"-")</f>
        <v>2.46</v>
      </c>
      <c r="D22" s="151">
        <f>IFERROR(VLOOKUP($A22,table3[],3,FALSE),"-")</f>
        <v>3.19</v>
      </c>
      <c r="E22" s="151">
        <f>IFERROR(VLOOKUP($A22,table4[],3,FALSE),"-")</f>
        <v>2</v>
      </c>
      <c r="F22" s="151">
        <f>IFERROR(VLOOKUP($A22,table5[],3,FALSE),"-")</f>
        <v>0</v>
      </c>
      <c r="G22" s="151" t="str">
        <f>IFERROR(VLOOKUP($A22,table6[],3,FALSE),"-")</f>
        <v>-</v>
      </c>
      <c r="H22" s="151" t="str">
        <f>IFERROR(VLOOKUP($A22,table7[],12,FALSE),"-")</f>
        <v>-</v>
      </c>
      <c r="I22" s="151" t="str">
        <f>IFERROR(VLOOKUP($A22,table8[],3,FALSE),"-")</f>
        <v>-</v>
      </c>
      <c r="J22" s="151" t="str">
        <f>IFERROR(VLOOKUP($A22,table9[],3,FALSE),"-")</f>
        <v>-</v>
      </c>
      <c r="K22" s="151" t="str">
        <f>IFERROR(VLOOKUP($A22,table10[],3,FALSE),"-")</f>
        <v>-</v>
      </c>
      <c r="L22" s="119">
        <f>MAX(Table16[[#This Row],[Otay]:[Otay 4]])</f>
        <v>3.19</v>
      </c>
    </row>
    <row r="23" spans="1:12" ht="15" x14ac:dyDescent="0.2">
      <c r="A23" s="30" t="s">
        <v>31</v>
      </c>
      <c r="B23" s="151">
        <f>IFERROR(VLOOKUP($A23,table1[],3,FALSE),"-")</f>
        <v>2.2000000000000002</v>
      </c>
      <c r="C23" s="151">
        <f>IFERROR(VLOOKUP($A23,table2[],3,FALSE),"-")</f>
        <v>1.92</v>
      </c>
      <c r="D23" s="151">
        <f>IFERROR(VLOOKUP($A23,table3[],3,FALSE),"-")</f>
        <v>1.39</v>
      </c>
      <c r="E23" s="151">
        <f>IFERROR(VLOOKUP($A23,table4[],3,FALSE),"-")</f>
        <v>3.15</v>
      </c>
      <c r="F23" s="151">
        <f>IFERROR(VLOOKUP($A23,table5[],3,FALSE),"-")</f>
        <v>0</v>
      </c>
      <c r="G23" s="151" t="str">
        <f>IFERROR(VLOOKUP($A23,table6[],3,FALSE),"-")</f>
        <v>-</v>
      </c>
      <c r="H23" s="151" t="str">
        <f>IFERROR(VLOOKUP($A23,table7[],12,FALSE),"-")</f>
        <v>-</v>
      </c>
      <c r="I23" s="151" t="str">
        <f>IFERROR(VLOOKUP($A23,table8[],3,FALSE),"-")</f>
        <v>-</v>
      </c>
      <c r="J23" s="151" t="str">
        <f>IFERROR(VLOOKUP($A23,table9[],3,FALSE),"-")</f>
        <v>-</v>
      </c>
      <c r="K23" s="151" t="str">
        <f>IFERROR(VLOOKUP($A23,table10[],3,FALSE),"-")</f>
        <v>-</v>
      </c>
      <c r="L23" s="119">
        <f>MAX(Table16[[#This Row],[Otay]:[Otay 4]])</f>
        <v>3.15</v>
      </c>
    </row>
    <row r="24" spans="1:12" ht="15" x14ac:dyDescent="0.2">
      <c r="A24" s="30" t="s">
        <v>189</v>
      </c>
      <c r="B24" s="151" t="str">
        <f>IFERROR(VLOOKUP($A24,table1[],3,FALSE),"-")</f>
        <v>-</v>
      </c>
      <c r="C24" s="151">
        <f>IFERROR(VLOOKUP($A24,table2[],3,FALSE),"-")</f>
        <v>3.06</v>
      </c>
      <c r="D24" s="151">
        <f>IFERROR(VLOOKUP($A24,table3[],3,FALSE),"-")</f>
        <v>2.87</v>
      </c>
      <c r="E24" s="151">
        <f>IFERROR(VLOOKUP($A24,table4[],3,FALSE),"-")</f>
        <v>2.5099999999999998</v>
      </c>
      <c r="F24" s="151">
        <f>IFERROR(VLOOKUP($A24,table5[],3,FALSE),"-")</f>
        <v>2.95</v>
      </c>
      <c r="G24" s="151" t="str">
        <f>IFERROR(VLOOKUP($A24,table6[],3,FALSE),"-")</f>
        <v>-</v>
      </c>
      <c r="H24" s="151" t="str">
        <f>IFERROR(VLOOKUP($A24,table7[],12,FALSE),"-")</f>
        <v>-</v>
      </c>
      <c r="I24" s="151" t="str">
        <f>IFERROR(VLOOKUP($A24,table8[],3,FALSE),"-")</f>
        <v>-</v>
      </c>
      <c r="J24" s="151" t="str">
        <f>IFERROR(VLOOKUP($A24,table9[],3,FALSE),"-")</f>
        <v>-</v>
      </c>
      <c r="K24" s="151" t="str">
        <f>IFERROR(VLOOKUP($A24,table10[],3,FALSE),"-")</f>
        <v>-</v>
      </c>
      <c r="L24" s="119">
        <f>MAX(Table16[[#This Row],[Otay]:[Otay 4]])</f>
        <v>3.06</v>
      </c>
    </row>
    <row r="25" spans="1:12" ht="15" x14ac:dyDescent="0.2">
      <c r="A25" s="30" t="s">
        <v>49</v>
      </c>
      <c r="B25" s="151">
        <f>IFERROR(VLOOKUP($A25,table1[],3,FALSE),"-")</f>
        <v>2.34</v>
      </c>
      <c r="C25" s="151">
        <f>IFERROR(VLOOKUP($A25,table2[],3,FALSE),"-")</f>
        <v>2.63</v>
      </c>
      <c r="D25" s="151">
        <f>IFERROR(VLOOKUP($A25,table3[],3,FALSE),"-")</f>
        <v>3.06</v>
      </c>
      <c r="E25" s="151">
        <f>IFERROR(VLOOKUP($A25,table4[],3,FALSE),"-")</f>
        <v>3</v>
      </c>
      <c r="F25" s="151">
        <f>IFERROR(VLOOKUP($A25,table5[],3,FALSE),"-")</f>
        <v>2.71</v>
      </c>
      <c r="G25" s="151" t="str">
        <f>IFERROR(VLOOKUP($A25,table6[],3,FALSE),"-")</f>
        <v>-</v>
      </c>
      <c r="H25" s="151" t="str">
        <f>IFERROR(VLOOKUP($A25,table7[],12,FALSE),"-")</f>
        <v>-</v>
      </c>
      <c r="I25" s="151" t="str">
        <f>IFERROR(VLOOKUP($A25,table8[],3,FALSE),"-")</f>
        <v>-</v>
      </c>
      <c r="J25" s="151" t="str">
        <f>IFERROR(VLOOKUP($A25,table9[],3,FALSE),"-")</f>
        <v>-</v>
      </c>
      <c r="K25" s="151" t="str">
        <f>IFERROR(VLOOKUP($A25,table10[],3,FALSE),"-")</f>
        <v>-</v>
      </c>
      <c r="L25" s="119">
        <f>MAX(Table16[[#This Row],[Otay]:[Otay 4]])</f>
        <v>3.06</v>
      </c>
    </row>
    <row r="26" spans="1:12" ht="15" x14ac:dyDescent="0.2">
      <c r="A26" s="30" t="s">
        <v>241</v>
      </c>
      <c r="B26" s="151">
        <f>IFERROR(VLOOKUP($A26,table1[],3,FALSE),"-")</f>
        <v>2.38</v>
      </c>
      <c r="C26" s="151">
        <f>IFERROR(VLOOKUP($A26,table2[],3,FALSE),"-")</f>
        <v>2.62</v>
      </c>
      <c r="D26" s="151">
        <f>IFERROR(VLOOKUP($A26,table3[],3,FALSE),"-")</f>
        <v>3.05</v>
      </c>
      <c r="E26" s="151" t="str">
        <f>IFERROR(VLOOKUP($A26,table4[],3,FALSE),"-")</f>
        <v>-</v>
      </c>
      <c r="F26" s="151">
        <f>IFERROR(VLOOKUP($A26,table5[],3,FALSE),"-")</f>
        <v>0</v>
      </c>
      <c r="G26" s="151" t="str">
        <f>IFERROR(VLOOKUP($A26,table6[],3,FALSE),"-")</f>
        <v>-</v>
      </c>
      <c r="H26" s="151" t="str">
        <f>IFERROR(VLOOKUP($A26,table7[],12,FALSE),"-")</f>
        <v>-</v>
      </c>
      <c r="I26" s="151" t="str">
        <f>IFERROR(VLOOKUP($A26,table8[],3,FALSE),"-")</f>
        <v>-</v>
      </c>
      <c r="J26" s="151" t="str">
        <f>IFERROR(VLOOKUP($A26,table9[],3,FALSE),"-")</f>
        <v>-</v>
      </c>
      <c r="K26" s="151" t="str">
        <f>IFERROR(VLOOKUP($A26,table10[],3,FALSE),"-")</f>
        <v>-</v>
      </c>
      <c r="L26" s="119">
        <f>MAX(Table16[[#This Row],[Otay]:[Otay 4]])</f>
        <v>3.05</v>
      </c>
    </row>
    <row r="27" spans="1:12" ht="15" x14ac:dyDescent="0.2">
      <c r="A27" s="30" t="s">
        <v>122</v>
      </c>
      <c r="B27" s="151" t="str">
        <f>IFERROR(VLOOKUP($A27,table1[],3,FALSE),"-")</f>
        <v>-</v>
      </c>
      <c r="C27" s="151">
        <f>IFERROR(VLOOKUP($A27,table2[],3,FALSE),"-")</f>
        <v>1.37</v>
      </c>
      <c r="D27" s="151">
        <f>IFERROR(VLOOKUP($A27,table3[],3,FALSE),"-")</f>
        <v>3.02</v>
      </c>
      <c r="E27" s="151" t="str">
        <f>IFERROR(VLOOKUP($A27,table4[],3,FALSE),"-")</f>
        <v>-</v>
      </c>
      <c r="F27" s="151">
        <f>IFERROR(VLOOKUP($A27,table5[],3,FALSE),"-")</f>
        <v>0</v>
      </c>
      <c r="G27" s="151" t="str">
        <f>IFERROR(VLOOKUP($A27,table6[],3,FALSE),"-")</f>
        <v>-</v>
      </c>
      <c r="H27" s="151" t="str">
        <f>IFERROR(VLOOKUP($A27,table7[],12,FALSE),"-")</f>
        <v>-</v>
      </c>
      <c r="I27" s="151" t="str">
        <f>IFERROR(VLOOKUP($A27,table8[],3,FALSE),"-")</f>
        <v>-</v>
      </c>
      <c r="J27" s="151" t="str">
        <f>IFERROR(VLOOKUP($A27,table9[],3,FALSE),"-")</f>
        <v>-</v>
      </c>
      <c r="K27" s="151" t="str">
        <f>IFERROR(VLOOKUP($A27,table10[],3,FALSE),"-")</f>
        <v>-</v>
      </c>
      <c r="L27" s="119">
        <f>MAX(Table16[[#This Row],[Otay]:[Otay 4]])</f>
        <v>3.02</v>
      </c>
    </row>
    <row r="28" spans="1:12" ht="15" x14ac:dyDescent="0.2">
      <c r="A28" s="30" t="s">
        <v>104</v>
      </c>
      <c r="B28" s="155">
        <f>IFERROR(VLOOKUP($A28,table1[],3,FALSE),"-")</f>
        <v>2.15</v>
      </c>
      <c r="C28" s="155">
        <f>IFERROR(VLOOKUP($A28,table2[],3,FALSE),"-")</f>
        <v>0</v>
      </c>
      <c r="D28" s="155">
        <f>IFERROR(VLOOKUP($A28,table3[],3,FALSE),"-")</f>
        <v>0</v>
      </c>
      <c r="E28" s="155">
        <f>IFERROR(VLOOKUP($A28,table4[],3,FALSE),"-")</f>
        <v>2.85</v>
      </c>
      <c r="F28" s="155">
        <f>IFERROR(VLOOKUP($A28,table5[],3,FALSE),"-")</f>
        <v>0</v>
      </c>
      <c r="G28" s="155" t="str">
        <f>IFERROR(VLOOKUP($A28,table6[],3,FALSE),"-")</f>
        <v>-</v>
      </c>
      <c r="H28" s="155" t="str">
        <f>IFERROR(VLOOKUP($A28,table7[],12,FALSE),"-")</f>
        <v>-</v>
      </c>
      <c r="I28" s="155" t="str">
        <f>IFERROR(VLOOKUP($A28,table8[],3,FALSE),"-")</f>
        <v>-</v>
      </c>
      <c r="J28" s="155" t="str">
        <f>IFERROR(VLOOKUP($A28,table9[],3,FALSE),"-")</f>
        <v>-</v>
      </c>
      <c r="K28" s="155" t="str">
        <f>IFERROR(VLOOKUP($A28,table10[],3,FALSE),"-")</f>
        <v>-</v>
      </c>
      <c r="L28" s="119">
        <f>MAX(Table16[[#This Row],[Otay]:[Otay 4]])</f>
        <v>2.85</v>
      </c>
    </row>
    <row r="29" spans="1:12" ht="15" x14ac:dyDescent="0.2">
      <c r="A29" s="30" t="s">
        <v>289</v>
      </c>
      <c r="B29" s="119" t="str">
        <f>IFERROR(VLOOKUP($A29,table1[],3,FALSE),"-")</f>
        <v>-</v>
      </c>
      <c r="C29" s="119" t="str">
        <f>IFERROR(VLOOKUP($A29,table2[],3,FALSE),"-")</f>
        <v>-</v>
      </c>
      <c r="D29" s="119" t="str">
        <f>IFERROR(VLOOKUP($A29,table3[],3,FALSE),"-")</f>
        <v>-</v>
      </c>
      <c r="E29" s="119">
        <f>IFERROR(VLOOKUP($A29,table4[],3,FALSE),"-")</f>
        <v>2.82</v>
      </c>
      <c r="F29" s="119" t="str">
        <f>IFERROR(VLOOKUP($A29,table5[],3,FALSE),"-")</f>
        <v>-</v>
      </c>
      <c r="G29" s="119" t="str">
        <f>IFERROR(VLOOKUP($A29,table6[],3,FALSE),"-")</f>
        <v>-</v>
      </c>
      <c r="H29" s="119" t="str">
        <f>IFERROR(VLOOKUP($A29,table7[],12,FALSE),"-")</f>
        <v>-</v>
      </c>
      <c r="I29" s="119" t="str">
        <f>IFERROR(VLOOKUP($A29,table8[],3,FALSE),"-")</f>
        <v>-</v>
      </c>
      <c r="J29" s="119" t="str">
        <f>IFERROR(VLOOKUP($A29,table9[],3,FALSE),"-")</f>
        <v>-</v>
      </c>
      <c r="K29" s="119" t="str">
        <f>IFERROR(VLOOKUP($A29,table10[],3,FALSE),"-")</f>
        <v>-</v>
      </c>
      <c r="L29" s="119">
        <f>MAX(Table16[[#This Row],[Otay]:[Otay 4]])</f>
        <v>2.82</v>
      </c>
    </row>
    <row r="30" spans="1:12" ht="15" x14ac:dyDescent="0.2">
      <c r="A30" s="30" t="s">
        <v>56</v>
      </c>
      <c r="B30" s="151">
        <f>IFERROR(VLOOKUP($A30,table1[],3,FALSE),"-")</f>
        <v>2.8</v>
      </c>
      <c r="C30" s="151">
        <f>IFERROR(VLOOKUP($A30,table2[],3,FALSE),"-")</f>
        <v>2.34</v>
      </c>
      <c r="D30" s="151">
        <f>IFERROR(VLOOKUP($A30,table3[],3,FALSE),"-")</f>
        <v>1.58</v>
      </c>
      <c r="E30" s="151">
        <f>IFERROR(VLOOKUP($A30,table4[],3,FALSE),"-")</f>
        <v>2.58</v>
      </c>
      <c r="F30" s="151">
        <f>IFERROR(VLOOKUP($A30,table5[],3,FALSE),"-")</f>
        <v>0</v>
      </c>
      <c r="G30" s="151" t="str">
        <f>IFERROR(VLOOKUP($A30,table6[],3,FALSE),"-")</f>
        <v>-</v>
      </c>
      <c r="H30" s="151" t="str">
        <f>IFERROR(VLOOKUP($A30,table7[],12,FALSE),"-")</f>
        <v>-</v>
      </c>
      <c r="I30" s="151" t="str">
        <f>IFERROR(VLOOKUP($A30,table8[],3,FALSE),"-")</f>
        <v>-</v>
      </c>
      <c r="J30" s="151" t="str">
        <f>IFERROR(VLOOKUP($A30,table9[],3,FALSE),"-")</f>
        <v>-</v>
      </c>
      <c r="K30" s="151" t="str">
        <f>IFERROR(VLOOKUP($A30,table10[],3,FALSE),"-")</f>
        <v>-</v>
      </c>
      <c r="L30" s="119">
        <f>MAX(Table16[[#This Row],[Otay]:[Otay 4]])</f>
        <v>2.8</v>
      </c>
    </row>
    <row r="31" spans="1:12" ht="15" x14ac:dyDescent="0.2">
      <c r="A31" s="131" t="s">
        <v>236</v>
      </c>
      <c r="B31" s="151">
        <f>IFERROR(VLOOKUP($A31,table1[],3,FALSE),"-")</f>
        <v>2.72</v>
      </c>
      <c r="C31" s="151" t="str">
        <f>IFERROR(VLOOKUP($A31,table2[],3,FALSE),"-")</f>
        <v>-</v>
      </c>
      <c r="D31" s="151" t="str">
        <f>IFERROR(VLOOKUP($A31,table3[],3,FALSE),"-")</f>
        <v>-</v>
      </c>
      <c r="E31" s="151" t="str">
        <f>IFERROR(VLOOKUP($A31,table4[],3,FALSE),"-")</f>
        <v>-</v>
      </c>
      <c r="F31" s="151" t="str">
        <f>IFERROR(VLOOKUP($A31,table5[],3,FALSE),"-")</f>
        <v>-</v>
      </c>
      <c r="G31" s="151" t="str">
        <f>IFERROR(VLOOKUP($A31,table6[],3,FALSE),"-")</f>
        <v>-</v>
      </c>
      <c r="H31" s="151" t="str">
        <f>IFERROR(VLOOKUP($A31,table7[],12,FALSE),"-")</f>
        <v>-</v>
      </c>
      <c r="I31" s="151" t="str">
        <f>IFERROR(VLOOKUP($A31,table8[],3,FALSE),"-")</f>
        <v>-</v>
      </c>
      <c r="J31" s="151" t="str">
        <f>IFERROR(VLOOKUP($A31,table9[],3,FALSE),"-")</f>
        <v>-</v>
      </c>
      <c r="K31" s="151" t="str">
        <f>IFERROR(VLOOKUP($A31,table10[],3,FALSE),"-")</f>
        <v>-</v>
      </c>
      <c r="L31" s="119">
        <f>MAX(Table16[[#This Row],[Otay]:[Otay 4]])</f>
        <v>2.72</v>
      </c>
    </row>
    <row r="32" spans="1:12" ht="15" x14ac:dyDescent="0.2">
      <c r="A32" s="131" t="s">
        <v>270</v>
      </c>
      <c r="B32" s="151">
        <f>IFERROR(VLOOKUP($A32,table1[],3,FALSE),"-")</f>
        <v>2.66</v>
      </c>
      <c r="C32" s="151" t="str">
        <f>IFERROR(VLOOKUP($A32,table2[],3,FALSE),"-")</f>
        <v>-</v>
      </c>
      <c r="D32" s="151" t="str">
        <f>IFERROR(VLOOKUP($A32,table3[],3,FALSE),"-")</f>
        <v>-</v>
      </c>
      <c r="E32" s="151" t="str">
        <f>IFERROR(VLOOKUP($A32,table4[],3,FALSE),"-")</f>
        <v>-</v>
      </c>
      <c r="F32" s="151" t="str">
        <f>IFERROR(VLOOKUP($A32,table5[],3,FALSE),"-")</f>
        <v>-</v>
      </c>
      <c r="G32" s="151" t="str">
        <f>IFERROR(VLOOKUP($A32,table6[],3,FALSE),"-")</f>
        <v>-</v>
      </c>
      <c r="H32" s="151" t="str">
        <f>IFERROR(VLOOKUP($A32,table7[],12,FALSE),"-")</f>
        <v>-</v>
      </c>
      <c r="I32" s="151" t="str">
        <f>IFERROR(VLOOKUP($A32,table8[],3,FALSE),"-")</f>
        <v>-</v>
      </c>
      <c r="J32" s="151" t="str">
        <f>IFERROR(VLOOKUP($A32,table9[],3,FALSE),"-")</f>
        <v>-</v>
      </c>
      <c r="K32" s="151" t="str">
        <f>IFERROR(VLOOKUP($A32,table10[],3,FALSE),"-")</f>
        <v>-</v>
      </c>
      <c r="L32" s="119">
        <f>MAX(Table16[[#This Row],[Otay]:[Otay 4]])</f>
        <v>2.66</v>
      </c>
    </row>
    <row r="33" spans="1:12" ht="15" x14ac:dyDescent="0.2">
      <c r="A33" s="30" t="s">
        <v>62</v>
      </c>
      <c r="B33" s="151">
        <f>IFERROR(VLOOKUP($A33,table1[],3,FALSE),"-")</f>
        <v>0</v>
      </c>
      <c r="C33" s="151">
        <f>IFERROR(VLOOKUP($A33,table2[],3,FALSE),"-")</f>
        <v>2.56</v>
      </c>
      <c r="D33" s="151">
        <f>IFERROR(VLOOKUP($A33,table3[],3,FALSE),"-")</f>
        <v>1.99</v>
      </c>
      <c r="E33" s="151">
        <f>IFERROR(VLOOKUP($A33,table4[],3,FALSE),"-")</f>
        <v>2.11</v>
      </c>
      <c r="F33" s="151" t="str">
        <f>IFERROR(VLOOKUP($A33,table5[],3,FALSE),"-")</f>
        <v>-</v>
      </c>
      <c r="G33" s="151" t="str">
        <f>IFERROR(VLOOKUP($A33,table6[],3,FALSE),"-")</f>
        <v>-</v>
      </c>
      <c r="H33" s="151" t="str">
        <f>IFERROR(VLOOKUP($A33,table7[],12,FALSE),"-")</f>
        <v>-</v>
      </c>
      <c r="I33" s="151" t="str">
        <f>IFERROR(VLOOKUP($A33,table8[],3,FALSE),"-")</f>
        <v>-</v>
      </c>
      <c r="J33" s="151" t="str">
        <f>IFERROR(VLOOKUP($A33,table9[],3,FALSE),"-")</f>
        <v>-</v>
      </c>
      <c r="K33" s="151" t="str">
        <f>IFERROR(VLOOKUP($A33,table10[],3,FALSE),"-")</f>
        <v>-</v>
      </c>
      <c r="L33" s="119">
        <f>MAX(Table16[[#This Row],[Otay]:[Otay 4]])</f>
        <v>2.56</v>
      </c>
    </row>
    <row r="34" spans="1:12" ht="15" x14ac:dyDescent="0.2">
      <c r="A34" s="30" t="s">
        <v>103</v>
      </c>
      <c r="B34" s="151">
        <f>IFERROR(VLOOKUP($A34,table1[],3,FALSE),"-")</f>
        <v>2.5299999999999998</v>
      </c>
      <c r="C34" s="151" t="str">
        <f>IFERROR(VLOOKUP($A34,table2[],3,FALSE),"-")</f>
        <v>-</v>
      </c>
      <c r="D34" s="151" t="str">
        <f>IFERROR(VLOOKUP($A34,table3[],3,FALSE),"-")</f>
        <v>-</v>
      </c>
      <c r="E34" s="151" t="str">
        <f>IFERROR(VLOOKUP($A34,table4[],3,FALSE),"-")</f>
        <v>-</v>
      </c>
      <c r="F34" s="151">
        <f>IFERROR(VLOOKUP($A34,table5[],3,FALSE),"-")</f>
        <v>1.95</v>
      </c>
      <c r="G34" s="151" t="str">
        <f>IFERROR(VLOOKUP($A34,table6[],3,FALSE),"-")</f>
        <v>-</v>
      </c>
      <c r="H34" s="151" t="str">
        <f>IFERROR(VLOOKUP($A34,table7[],12,FALSE),"-")</f>
        <v>-</v>
      </c>
      <c r="I34" s="151" t="str">
        <f>IFERROR(VLOOKUP($A34,table8[],3,FALSE),"-")</f>
        <v>-</v>
      </c>
      <c r="J34" s="151" t="str">
        <f>IFERROR(VLOOKUP($A34,table9[],3,FALSE),"-")</f>
        <v>-</v>
      </c>
      <c r="K34" s="151" t="str">
        <f>IFERROR(VLOOKUP($A34,table10[],3,FALSE),"-")</f>
        <v>-</v>
      </c>
      <c r="L34" s="119">
        <f>MAX(Table16[[#This Row],[Otay]:[Otay 4]])</f>
        <v>2.5299999999999998</v>
      </c>
    </row>
    <row r="35" spans="1:12" ht="15" x14ac:dyDescent="0.2">
      <c r="A35" s="30" t="s">
        <v>107</v>
      </c>
      <c r="B35" s="151" t="str">
        <f>IFERROR(VLOOKUP($A35,table1[],3,FALSE),"-")</f>
        <v>-</v>
      </c>
      <c r="C35" s="151" t="str">
        <f>IFERROR(VLOOKUP($A35,table2[],3,FALSE),"-")</f>
        <v>-</v>
      </c>
      <c r="D35" s="151" t="str">
        <f>IFERROR(VLOOKUP($A35,table3[],3,FALSE),"-")</f>
        <v>-</v>
      </c>
      <c r="E35" s="151">
        <f>IFERROR(VLOOKUP($A35,table4[],3,FALSE),"-")</f>
        <v>2.3199999999999998</v>
      </c>
      <c r="F35" s="151" t="str">
        <f>IFERROR(VLOOKUP($A35,table5[],3,FALSE),"-")</f>
        <v>-</v>
      </c>
      <c r="G35" s="151" t="str">
        <f>IFERROR(VLOOKUP($A35,table6[],3,FALSE),"-")</f>
        <v>-</v>
      </c>
      <c r="H35" s="151" t="str">
        <f>IFERROR(VLOOKUP($A35,table7[],12,FALSE),"-")</f>
        <v>-</v>
      </c>
      <c r="I35" s="151" t="str">
        <f>IFERROR(VLOOKUP($A35,table8[],3,FALSE),"-")</f>
        <v>-</v>
      </c>
      <c r="J35" s="151" t="str">
        <f>IFERROR(VLOOKUP($A35,table9[],3,FALSE),"-")</f>
        <v>-</v>
      </c>
      <c r="K35" s="151" t="str">
        <f>IFERROR(VLOOKUP($A35,table10[],3,FALSE),"-")</f>
        <v>-</v>
      </c>
      <c r="L35" s="119">
        <f>MAX(Table16[[#This Row],[Otay]:[Otay 4]])</f>
        <v>2.3199999999999998</v>
      </c>
    </row>
    <row r="36" spans="1:12" ht="15" x14ac:dyDescent="0.2">
      <c r="A36" s="30" t="s">
        <v>53</v>
      </c>
      <c r="B36" s="151">
        <f>IFERROR(VLOOKUP($A36,table1[],3,FALSE),"-")</f>
        <v>0</v>
      </c>
      <c r="C36" s="151">
        <f>IFERROR(VLOOKUP($A36,table2[],3,FALSE),"-")</f>
        <v>0</v>
      </c>
      <c r="D36" s="151" t="str">
        <f>IFERROR(VLOOKUP($A36,table3[],3,FALSE),"-")</f>
        <v>-</v>
      </c>
      <c r="E36" s="151" t="str">
        <f>IFERROR(VLOOKUP($A36,table4[],3,FALSE),"-")</f>
        <v>-</v>
      </c>
      <c r="F36" s="151">
        <f>IFERROR(VLOOKUP($A36,table5[],3,FALSE),"-")</f>
        <v>2.27</v>
      </c>
      <c r="G36" s="151" t="str">
        <f>IFERROR(VLOOKUP($A36,table6[],3,FALSE),"-")</f>
        <v>-</v>
      </c>
      <c r="H36" s="151" t="str">
        <f>IFERROR(VLOOKUP($A36,table7[],12,FALSE),"-")</f>
        <v>-</v>
      </c>
      <c r="I36" s="151" t="str">
        <f>IFERROR(VLOOKUP($A36,table8[],3,FALSE),"-")</f>
        <v>-</v>
      </c>
      <c r="J36" s="151" t="str">
        <f>IFERROR(VLOOKUP($A36,table9[],3,FALSE),"-")</f>
        <v>-</v>
      </c>
      <c r="K36" s="151" t="str">
        <f>IFERROR(VLOOKUP($A36,table10[],3,FALSE),"-")</f>
        <v>-</v>
      </c>
      <c r="L36" s="119">
        <f>MAX(Table16[[#This Row],[Otay]:[Otay 4]])</f>
        <v>2.27</v>
      </c>
    </row>
    <row r="37" spans="1:12" ht="15" x14ac:dyDescent="0.2">
      <c r="A37" s="30" t="s">
        <v>80</v>
      </c>
      <c r="B37" s="151">
        <f>IFERROR(VLOOKUP($A37,table1[],3,FALSE),"-")</f>
        <v>2.25</v>
      </c>
      <c r="C37" s="151">
        <f>IFERROR(VLOOKUP($A37,table2[],3,FALSE),"-")</f>
        <v>0</v>
      </c>
      <c r="D37" s="151" t="str">
        <f>IFERROR(VLOOKUP($A37,table3[],3,FALSE),"-")</f>
        <v>-</v>
      </c>
      <c r="E37" s="151" t="str">
        <f>IFERROR(VLOOKUP($A37,table4[],3,FALSE),"-")</f>
        <v>-</v>
      </c>
      <c r="F37" s="151" t="str">
        <f>IFERROR(VLOOKUP($A37,table5[],3,FALSE),"-")</f>
        <v>-</v>
      </c>
      <c r="G37" s="151" t="str">
        <f>IFERROR(VLOOKUP($A37,table6[],3,FALSE),"-")</f>
        <v>-</v>
      </c>
      <c r="H37" s="151" t="str">
        <f>IFERROR(VLOOKUP($A37,table7[],12,FALSE),"-")</f>
        <v>-</v>
      </c>
      <c r="I37" s="151" t="str">
        <f>IFERROR(VLOOKUP($A37,table8[],3,FALSE),"-")</f>
        <v>-</v>
      </c>
      <c r="J37" s="151" t="str">
        <f>IFERROR(VLOOKUP($A37,table9[],3,FALSE),"-")</f>
        <v>-</v>
      </c>
      <c r="K37" s="151" t="str">
        <f>IFERROR(VLOOKUP($A37,table10[],3,FALSE),"-")</f>
        <v>-</v>
      </c>
      <c r="L37" s="119">
        <f>MAX(Table16[[#This Row],[Otay]:[Otay 4]])</f>
        <v>2.25</v>
      </c>
    </row>
    <row r="38" spans="1:12" ht="15" x14ac:dyDescent="0.2">
      <c r="A38" s="30" t="s">
        <v>36</v>
      </c>
      <c r="B38" s="151">
        <f>IFERROR(VLOOKUP($A38,table1[],3,FALSE),"-")</f>
        <v>1.98</v>
      </c>
      <c r="C38" s="151" t="str">
        <f>IFERROR(VLOOKUP($A38,table2[],3,FALSE),"-")</f>
        <v>-</v>
      </c>
      <c r="D38" s="151" t="str">
        <f>IFERROR(VLOOKUP($A38,table3[],3,FALSE),"-")</f>
        <v>-</v>
      </c>
      <c r="E38" s="151" t="str">
        <f>IFERROR(VLOOKUP($A38,table4[],3,FALSE),"-")</f>
        <v>-</v>
      </c>
      <c r="F38" s="151" t="str">
        <f>IFERROR(VLOOKUP($A38,table5[],3,FALSE),"-")</f>
        <v>-</v>
      </c>
      <c r="G38" s="151" t="str">
        <f>IFERROR(VLOOKUP($A38,table6[],3,FALSE),"-")</f>
        <v>-</v>
      </c>
      <c r="H38" s="151" t="str">
        <f>IFERROR(VLOOKUP($A38,table7[],12,FALSE),"-")</f>
        <v>-</v>
      </c>
      <c r="I38" s="151" t="str">
        <f>IFERROR(VLOOKUP($A38,table8[],3,FALSE),"-")</f>
        <v>-</v>
      </c>
      <c r="J38" s="151" t="str">
        <f>IFERROR(VLOOKUP($A38,table9[],3,FALSE),"-")</f>
        <v>-</v>
      </c>
      <c r="K38" s="151" t="str">
        <f>IFERROR(VLOOKUP($A38,table10[],3,FALSE),"-")</f>
        <v>-</v>
      </c>
      <c r="L38" s="119">
        <f>MAX(Table16[[#This Row],[Otay]:[Otay 4]])</f>
        <v>1.98</v>
      </c>
    </row>
    <row r="39" spans="1:12" ht="15" x14ac:dyDescent="0.2">
      <c r="A39" s="30" t="s">
        <v>231</v>
      </c>
      <c r="B39" s="151">
        <f>IFERROR(VLOOKUP($A39,table1[],3,FALSE),"-")</f>
        <v>1.97</v>
      </c>
      <c r="C39" s="151" t="str">
        <f>IFERROR(VLOOKUP($A39,table2[],3,FALSE),"-")</f>
        <v>-</v>
      </c>
      <c r="D39" s="151" t="str">
        <f>IFERROR(VLOOKUP($A39,table3[],3,FALSE),"-")</f>
        <v>-</v>
      </c>
      <c r="E39" s="151" t="str">
        <f>IFERROR(VLOOKUP($A39,table4[],3,FALSE),"-")</f>
        <v>-</v>
      </c>
      <c r="F39" s="151" t="str">
        <f>IFERROR(VLOOKUP($A39,table5[],3,FALSE),"-")</f>
        <v>-</v>
      </c>
      <c r="G39" s="151" t="str">
        <f>IFERROR(VLOOKUP($A39,table6[],3,FALSE),"-")</f>
        <v>-</v>
      </c>
      <c r="H39" s="151" t="str">
        <f>IFERROR(VLOOKUP($A39,table7[],12,FALSE),"-")</f>
        <v>-</v>
      </c>
      <c r="I39" s="151" t="str">
        <f>IFERROR(VLOOKUP($A39,table8[],3,FALSE),"-")</f>
        <v>-</v>
      </c>
      <c r="J39" s="151" t="str">
        <f>IFERROR(VLOOKUP($A39,table9[],3,FALSE),"-")</f>
        <v>-</v>
      </c>
      <c r="K39" s="151" t="str">
        <f>IFERROR(VLOOKUP($A39,table10[],3,FALSE),"-")</f>
        <v>-</v>
      </c>
      <c r="L39" s="119">
        <f>MAX(Table16[[#This Row],[Otay]:[Otay 4]])</f>
        <v>1.97</v>
      </c>
    </row>
    <row r="40" spans="1:12" ht="15" x14ac:dyDescent="0.2">
      <c r="A40" s="30" t="s">
        <v>136</v>
      </c>
      <c r="B40" s="151" t="str">
        <f>IFERROR(VLOOKUP($A40,table1[],3,FALSE),"-")</f>
        <v>-</v>
      </c>
      <c r="C40" s="151" t="str">
        <f>IFERROR(VLOOKUP($A40,table2[],3,FALSE),"-")</f>
        <v>-</v>
      </c>
      <c r="D40" s="151" t="str">
        <f>IFERROR(VLOOKUP($A40,table3[],3,FALSE),"-")</f>
        <v>-</v>
      </c>
      <c r="E40" s="151" t="str">
        <f>IFERROR(VLOOKUP($A40,table4[],3,FALSE),"-")</f>
        <v>-</v>
      </c>
      <c r="F40" s="151" t="str">
        <f>IFERROR(VLOOKUP($A40,table5[],3,FALSE),"-")</f>
        <v>-</v>
      </c>
      <c r="G40" s="151" t="str">
        <f>IFERROR(VLOOKUP($A40,table6[],3,FALSE),"-")</f>
        <v>-</v>
      </c>
      <c r="H40" s="151" t="str">
        <f>IFERROR(VLOOKUP($A40,table7[],12,FALSE),"-")</f>
        <v>-</v>
      </c>
      <c r="I40" s="151" t="str">
        <f>IFERROR(VLOOKUP($A40,table8[],3,FALSE),"-")</f>
        <v>-</v>
      </c>
      <c r="J40" s="151" t="str">
        <f>IFERROR(VLOOKUP($A40,table9[],3,FALSE),"-")</f>
        <v>-</v>
      </c>
      <c r="K40" s="151" t="str">
        <f>IFERROR(VLOOKUP($A40,table10[],3,FALSE),"-")</f>
        <v>-</v>
      </c>
      <c r="L40" s="119">
        <f>MAX(Table16[[#This Row],[Otay]:[Otay 4]])</f>
        <v>0</v>
      </c>
    </row>
    <row r="41" spans="1:12" ht="15" x14ac:dyDescent="0.2">
      <c r="A41" s="30" t="s">
        <v>242</v>
      </c>
      <c r="B41" s="151" t="str">
        <f>IFERROR(VLOOKUP($A41,table1[],3,FALSE),"-")</f>
        <v>-</v>
      </c>
      <c r="C41" s="151" t="str">
        <f>IFERROR(VLOOKUP($A41,table2[],3,FALSE),"-")</f>
        <v>-</v>
      </c>
      <c r="D41" s="151" t="str">
        <f>IFERROR(VLOOKUP($A41,table3[],3,FALSE),"-")</f>
        <v>-</v>
      </c>
      <c r="E41" s="151" t="str">
        <f>IFERROR(VLOOKUP($A41,table4[],3,FALSE),"-")</f>
        <v>-</v>
      </c>
      <c r="F41" s="151" t="str">
        <f>IFERROR(VLOOKUP($A41,table5[],3,FALSE),"-")</f>
        <v>-</v>
      </c>
      <c r="G41" s="151" t="str">
        <f>IFERROR(VLOOKUP($A41,table6[],3,FALSE),"-")</f>
        <v>-</v>
      </c>
      <c r="H41" s="151" t="str">
        <f>IFERROR(VLOOKUP($A41,table7[],12,FALSE),"-")</f>
        <v>-</v>
      </c>
      <c r="I41" s="151" t="str">
        <f>IFERROR(VLOOKUP($A41,table8[],3,FALSE),"-")</f>
        <v>-</v>
      </c>
      <c r="J41" s="151" t="str">
        <f>IFERROR(VLOOKUP($A41,table9[],3,FALSE),"-")</f>
        <v>-</v>
      </c>
      <c r="K41" s="151" t="str">
        <f>IFERROR(VLOOKUP($A41,table10[],3,FALSE),"-")</f>
        <v>-</v>
      </c>
      <c r="L41" s="119">
        <f>MAX(Table16[[#This Row],[Otay]:[Otay 4]])</f>
        <v>0</v>
      </c>
    </row>
    <row r="42" spans="1:12" ht="15" x14ac:dyDescent="0.2">
      <c r="A42" s="30" t="s">
        <v>75</v>
      </c>
      <c r="B42" s="151" t="str">
        <f>IFERROR(VLOOKUP($A42,table1[],3,FALSE),"-")</f>
        <v>-</v>
      </c>
      <c r="C42" s="151" t="str">
        <f>IFERROR(VLOOKUP($A42,table2[],3,FALSE),"-")</f>
        <v>-</v>
      </c>
      <c r="D42" s="151" t="str">
        <f>IFERROR(VLOOKUP($A42,table3[],3,FALSE),"-")</f>
        <v>-</v>
      </c>
      <c r="E42" s="151" t="str">
        <f>IFERROR(VLOOKUP($A42,table4[],3,FALSE),"-")</f>
        <v>-</v>
      </c>
      <c r="F42" s="151" t="str">
        <f>IFERROR(VLOOKUP($A42,table5[],3,FALSE),"-")</f>
        <v>-</v>
      </c>
      <c r="G42" s="151" t="str">
        <f>IFERROR(VLOOKUP($A42,table6[],3,FALSE),"-")</f>
        <v>-</v>
      </c>
      <c r="H42" s="151" t="str">
        <f>IFERROR(VLOOKUP($A42,table7[],12,FALSE),"-")</f>
        <v>-</v>
      </c>
      <c r="I42" s="151" t="str">
        <f>IFERROR(VLOOKUP($A42,table8[],3,FALSE),"-")</f>
        <v>-</v>
      </c>
      <c r="J42" s="151" t="str">
        <f>IFERROR(VLOOKUP($A42,table9[],3,FALSE),"-")</f>
        <v>-</v>
      </c>
      <c r="K42" s="151" t="str">
        <f>IFERROR(VLOOKUP($A42,table10[],3,FALSE),"-")</f>
        <v>-</v>
      </c>
      <c r="L42" s="119">
        <f>MAX(Table16[[#This Row],[Otay]:[Otay 4]])</f>
        <v>0</v>
      </c>
    </row>
    <row r="43" spans="1:12" ht="15" x14ac:dyDescent="0.2">
      <c r="A43" s="30" t="s">
        <v>245</v>
      </c>
      <c r="B43" s="151" t="str">
        <f>IFERROR(VLOOKUP($A43,table1[],3,FALSE),"-")</f>
        <v>-</v>
      </c>
      <c r="C43" s="151" t="str">
        <f>IFERROR(VLOOKUP($A43,table2[],3,FALSE),"-")</f>
        <v>-</v>
      </c>
      <c r="D43" s="151" t="str">
        <f>IFERROR(VLOOKUP($A43,table3[],3,FALSE),"-")</f>
        <v>-</v>
      </c>
      <c r="E43" s="151" t="str">
        <f>IFERROR(VLOOKUP($A43,table4[],3,FALSE),"-")</f>
        <v>-</v>
      </c>
      <c r="F43" s="151" t="str">
        <f>IFERROR(VLOOKUP($A43,table5[],3,FALSE),"-")</f>
        <v>-</v>
      </c>
      <c r="G43" s="151" t="str">
        <f>IFERROR(VLOOKUP($A43,table6[],3,FALSE),"-")</f>
        <v>-</v>
      </c>
      <c r="H43" s="151" t="str">
        <f>IFERROR(VLOOKUP($A43,table7[],12,FALSE),"-")</f>
        <v>-</v>
      </c>
      <c r="I43" s="151" t="str">
        <f>IFERROR(VLOOKUP($A43,table8[],3,FALSE),"-")</f>
        <v>-</v>
      </c>
      <c r="J43" s="151" t="str">
        <f>IFERROR(VLOOKUP($A43,table9[],3,FALSE),"-")</f>
        <v>-</v>
      </c>
      <c r="K43" s="151" t="str">
        <f>IFERROR(VLOOKUP($A43,table10[],3,FALSE),"-")</f>
        <v>-</v>
      </c>
      <c r="L43" s="119">
        <f>MAX(Table16[[#This Row],[Otay]:[Otay 4]])</f>
        <v>0</v>
      </c>
    </row>
    <row r="44" spans="1:12" ht="15" x14ac:dyDescent="0.2">
      <c r="A44" s="30" t="s">
        <v>254</v>
      </c>
      <c r="B44" s="151" t="str">
        <f>IFERROR(VLOOKUP($A44,table1[],3,FALSE),"-")</f>
        <v>-</v>
      </c>
      <c r="C44" s="151" t="str">
        <f>IFERROR(VLOOKUP($A44,table2[],3,FALSE),"-")</f>
        <v>-</v>
      </c>
      <c r="D44" s="151" t="str">
        <f>IFERROR(VLOOKUP($A44,table3[],3,FALSE),"-")</f>
        <v>-</v>
      </c>
      <c r="E44" s="151" t="str">
        <f>IFERROR(VLOOKUP($A44,table4[],3,FALSE),"-")</f>
        <v>-</v>
      </c>
      <c r="F44" s="151" t="str">
        <f>IFERROR(VLOOKUP($A44,table5[],3,FALSE),"-")</f>
        <v>-</v>
      </c>
      <c r="G44" s="151" t="str">
        <f>IFERROR(VLOOKUP($A44,table6[],3,FALSE),"-")</f>
        <v>-</v>
      </c>
      <c r="H44" s="151" t="str">
        <f>IFERROR(VLOOKUP($A44,table7[],12,FALSE),"-")</f>
        <v>-</v>
      </c>
      <c r="I44" s="151" t="str">
        <f>IFERROR(VLOOKUP($A44,table8[],3,FALSE),"-")</f>
        <v>-</v>
      </c>
      <c r="J44" s="151" t="str">
        <f>IFERROR(VLOOKUP($A44,table9[],3,FALSE),"-")</f>
        <v>-</v>
      </c>
      <c r="K44" s="151" t="str">
        <f>IFERROR(VLOOKUP($A44,table10[],3,FALSE),"-")</f>
        <v>-</v>
      </c>
      <c r="L44" s="119">
        <f>MAX(Table16[[#This Row],[Otay]:[Otay 4]])</f>
        <v>0</v>
      </c>
    </row>
    <row r="45" spans="1:12" ht="15" x14ac:dyDescent="0.2">
      <c r="A45" s="30" t="s">
        <v>30</v>
      </c>
      <c r="B45" s="151" t="str">
        <f>IFERROR(VLOOKUP($A45,table1[],3,FALSE),"-")</f>
        <v>-</v>
      </c>
      <c r="C45" s="151" t="str">
        <f>IFERROR(VLOOKUP($A45,table2[],3,FALSE),"-")</f>
        <v>-</v>
      </c>
      <c r="D45" s="151" t="str">
        <f>IFERROR(VLOOKUP($A45,table3[],3,FALSE),"-")</f>
        <v>-</v>
      </c>
      <c r="E45" s="151" t="str">
        <f>IFERROR(VLOOKUP($A45,table4[],3,FALSE),"-")</f>
        <v>-</v>
      </c>
      <c r="F45" s="151" t="str">
        <f>IFERROR(VLOOKUP($A45,table5[],3,FALSE),"-")</f>
        <v>-</v>
      </c>
      <c r="G45" s="151" t="str">
        <f>IFERROR(VLOOKUP($A45,table6[],3,FALSE),"-")</f>
        <v>-</v>
      </c>
      <c r="H45" s="151" t="str">
        <f>IFERROR(VLOOKUP($A45,table7[],12,FALSE),"-")</f>
        <v>-</v>
      </c>
      <c r="I45" s="151" t="str">
        <f>IFERROR(VLOOKUP($A45,table8[],3,FALSE),"-")</f>
        <v>-</v>
      </c>
      <c r="J45" s="151" t="str">
        <f>IFERROR(VLOOKUP($A45,table9[],3,FALSE),"-")</f>
        <v>-</v>
      </c>
      <c r="K45" s="151" t="str">
        <f>IFERROR(VLOOKUP($A45,table10[],3,FALSE),"-")</f>
        <v>-</v>
      </c>
      <c r="L45" s="119">
        <f>MAX(Table16[[#This Row],[Otay]:[Otay 4]])</f>
        <v>0</v>
      </c>
    </row>
    <row r="46" spans="1:12" ht="15" x14ac:dyDescent="0.2">
      <c r="A46" s="131" t="s">
        <v>164</v>
      </c>
      <c r="B46" s="151" t="str">
        <f>IFERROR(VLOOKUP($A46,table1[],3,FALSE),"-")</f>
        <v>-</v>
      </c>
      <c r="C46" s="151" t="str">
        <f>IFERROR(VLOOKUP($A46,table2[],3,FALSE),"-")</f>
        <v>-</v>
      </c>
      <c r="D46" s="151" t="str">
        <f>IFERROR(VLOOKUP($A46,table3[],3,FALSE),"-")</f>
        <v>-</v>
      </c>
      <c r="E46" s="151" t="str">
        <f>IFERROR(VLOOKUP($A46,table4[],3,FALSE),"-")</f>
        <v>-</v>
      </c>
      <c r="F46" s="151" t="str">
        <f>IFERROR(VLOOKUP($A46,table5[],3,FALSE),"-")</f>
        <v>-</v>
      </c>
      <c r="G46" s="151" t="str">
        <f>IFERROR(VLOOKUP($A46,table6[],3,FALSE),"-")</f>
        <v>-</v>
      </c>
      <c r="H46" s="151" t="str">
        <f>IFERROR(VLOOKUP($A46,table7[],12,FALSE),"-")</f>
        <v>-</v>
      </c>
      <c r="I46" s="151" t="str">
        <f>IFERROR(VLOOKUP($A46,table8[],3,FALSE),"-")</f>
        <v>-</v>
      </c>
      <c r="J46" s="151" t="str">
        <f>IFERROR(VLOOKUP($A46,table9[],3,FALSE),"-")</f>
        <v>-</v>
      </c>
      <c r="K46" s="151" t="str">
        <f>IFERROR(VLOOKUP($A46,table10[],3,FALSE),"-")</f>
        <v>-</v>
      </c>
      <c r="L46" s="119">
        <f>MAX(Table16[[#This Row],[Otay]:[Otay 4]])</f>
        <v>0</v>
      </c>
    </row>
    <row r="47" spans="1:12" ht="15" x14ac:dyDescent="0.2">
      <c r="A47" s="30" t="s">
        <v>253</v>
      </c>
      <c r="B47" s="151" t="str">
        <f>IFERROR(VLOOKUP($A47,table1[],3,FALSE),"-")</f>
        <v>-</v>
      </c>
      <c r="C47" s="151" t="str">
        <f>IFERROR(VLOOKUP($A47,table2[],3,FALSE),"-")</f>
        <v>-</v>
      </c>
      <c r="D47" s="151" t="str">
        <f>IFERROR(VLOOKUP($A47,table3[],3,FALSE),"-")</f>
        <v>-</v>
      </c>
      <c r="E47" s="151" t="str">
        <f>IFERROR(VLOOKUP($A47,table4[],3,FALSE),"-")</f>
        <v>-</v>
      </c>
      <c r="F47" s="151" t="str">
        <f>IFERROR(VLOOKUP($A47,table5[],3,FALSE),"-")</f>
        <v>-</v>
      </c>
      <c r="G47" s="151" t="str">
        <f>IFERROR(VLOOKUP($A47,table6[],3,FALSE),"-")</f>
        <v>-</v>
      </c>
      <c r="H47" s="151" t="str">
        <f>IFERROR(VLOOKUP($A47,table7[],12,FALSE),"-")</f>
        <v>-</v>
      </c>
      <c r="I47" s="151" t="str">
        <f>IFERROR(VLOOKUP($A47,table8[],3,FALSE),"-")</f>
        <v>-</v>
      </c>
      <c r="J47" s="151" t="str">
        <f>IFERROR(VLOOKUP($A47,table9[],3,FALSE),"-")</f>
        <v>-</v>
      </c>
      <c r="K47" s="151" t="str">
        <f>IFERROR(VLOOKUP($A47,table10[],3,FALSE),"-")</f>
        <v>-</v>
      </c>
      <c r="L47" s="119">
        <f>MAX(Table16[[#This Row],[Otay]:[Otay 4]])</f>
        <v>0</v>
      </c>
    </row>
    <row r="48" spans="1:12" ht="15" x14ac:dyDescent="0.2">
      <c r="A48" s="30" t="s">
        <v>176</v>
      </c>
      <c r="B48" s="151" t="str">
        <f>IFERROR(VLOOKUP($A48,table1[],3,FALSE),"-")</f>
        <v>-</v>
      </c>
      <c r="C48" s="151" t="str">
        <f>IFERROR(VLOOKUP($A48,table2[],3,FALSE),"-")</f>
        <v>-</v>
      </c>
      <c r="D48" s="151" t="str">
        <f>IFERROR(VLOOKUP($A48,table3[],3,FALSE),"-")</f>
        <v>-</v>
      </c>
      <c r="E48" s="151" t="str">
        <f>IFERROR(VLOOKUP($A48,table4[],3,FALSE),"-")</f>
        <v>-</v>
      </c>
      <c r="F48" s="151" t="str">
        <f>IFERROR(VLOOKUP($A48,table5[],3,FALSE),"-")</f>
        <v>-</v>
      </c>
      <c r="G48" s="151" t="str">
        <f>IFERROR(VLOOKUP($A48,table6[],3,FALSE),"-")</f>
        <v>-</v>
      </c>
      <c r="H48" s="151" t="str">
        <f>IFERROR(VLOOKUP($A48,table7[],12,FALSE),"-")</f>
        <v>-</v>
      </c>
      <c r="I48" s="151" t="str">
        <f>IFERROR(VLOOKUP($A48,table8[],3,FALSE),"-")</f>
        <v>-</v>
      </c>
      <c r="J48" s="151" t="str">
        <f>IFERROR(VLOOKUP($A48,table9[],3,FALSE),"-")</f>
        <v>-</v>
      </c>
      <c r="K48" s="151" t="str">
        <f>IFERROR(VLOOKUP($A48,table10[],3,FALSE),"-")</f>
        <v>-</v>
      </c>
      <c r="L48" s="119">
        <f>MAX(Table16[[#This Row],[Otay]:[Otay 4]])</f>
        <v>0</v>
      </c>
    </row>
    <row r="49" spans="1:12" ht="15" x14ac:dyDescent="0.2">
      <c r="A49" s="30" t="s">
        <v>172</v>
      </c>
      <c r="B49" s="151" t="str">
        <f>IFERROR(VLOOKUP($A49,table1[],3,FALSE),"-")</f>
        <v>-</v>
      </c>
      <c r="C49" s="151" t="str">
        <f>IFERROR(VLOOKUP($A49,table2[],3,FALSE),"-")</f>
        <v>-</v>
      </c>
      <c r="D49" s="151" t="str">
        <f>IFERROR(VLOOKUP($A49,table3[],3,FALSE),"-")</f>
        <v>-</v>
      </c>
      <c r="E49" s="151" t="str">
        <f>IFERROR(VLOOKUP($A49,table4[],3,FALSE),"-")</f>
        <v>-</v>
      </c>
      <c r="F49" s="151" t="str">
        <f>IFERROR(VLOOKUP($A49,table5[],3,FALSE),"-")</f>
        <v>-</v>
      </c>
      <c r="G49" s="151" t="str">
        <f>IFERROR(VLOOKUP($A49,table6[],3,FALSE),"-")</f>
        <v>-</v>
      </c>
      <c r="H49" s="151" t="str">
        <f>IFERROR(VLOOKUP($A49,table7[],12,FALSE),"-")</f>
        <v>-</v>
      </c>
      <c r="I49" s="151" t="str">
        <f>IFERROR(VLOOKUP($A49,table8[],3,FALSE),"-")</f>
        <v>-</v>
      </c>
      <c r="J49" s="151" t="str">
        <f>IFERROR(VLOOKUP($A49,table9[],3,FALSE),"-")</f>
        <v>-</v>
      </c>
      <c r="K49" s="151" t="str">
        <f>IFERROR(VLOOKUP($A49,table10[],3,FALSE),"-")</f>
        <v>-</v>
      </c>
      <c r="L49" s="119">
        <f>MAX(Table16[[#This Row],[Otay]:[Otay 4]])</f>
        <v>0</v>
      </c>
    </row>
    <row r="50" spans="1:12" ht="15" x14ac:dyDescent="0.2">
      <c r="A50" s="131" t="s">
        <v>248</v>
      </c>
      <c r="B50" s="151" t="str">
        <f>IFERROR(VLOOKUP($A50,table1[],3,FALSE),"-")</f>
        <v>-</v>
      </c>
      <c r="C50" s="151" t="str">
        <f>IFERROR(VLOOKUP($A50,table2[],3,FALSE),"-")</f>
        <v>-</v>
      </c>
      <c r="D50" s="151" t="str">
        <f>IFERROR(VLOOKUP($A50,table3[],3,FALSE),"-")</f>
        <v>-</v>
      </c>
      <c r="E50" s="151" t="str">
        <f>IFERROR(VLOOKUP($A50,table4[],3,FALSE),"-")</f>
        <v>-</v>
      </c>
      <c r="F50" s="151" t="str">
        <f>IFERROR(VLOOKUP($A50,table5[],3,FALSE),"-")</f>
        <v>-</v>
      </c>
      <c r="G50" s="151" t="str">
        <f>IFERROR(VLOOKUP($A50,table6[],3,FALSE),"-")</f>
        <v>-</v>
      </c>
      <c r="H50" s="151" t="str">
        <f>IFERROR(VLOOKUP($A50,table7[],12,FALSE),"-")</f>
        <v>-</v>
      </c>
      <c r="I50" s="151" t="str">
        <f>IFERROR(VLOOKUP($A50,table8[],3,FALSE),"-")</f>
        <v>-</v>
      </c>
      <c r="J50" s="151" t="str">
        <f>IFERROR(VLOOKUP($A50,table9[],3,FALSE),"-")</f>
        <v>-</v>
      </c>
      <c r="K50" s="151" t="str">
        <f>IFERROR(VLOOKUP($A50,table10[],3,FALSE),"-")</f>
        <v>-</v>
      </c>
      <c r="L50" s="119">
        <f>MAX(Table16[[#This Row],[Otay]:[Otay 4]])</f>
        <v>0</v>
      </c>
    </row>
    <row r="51" spans="1:12" ht="15" x14ac:dyDescent="0.2">
      <c r="A51" s="30" t="s">
        <v>129</v>
      </c>
      <c r="B51" s="151" t="str">
        <f>IFERROR(VLOOKUP($A51,table1[],3,FALSE),"-")</f>
        <v>-</v>
      </c>
      <c r="C51" s="151" t="str">
        <f>IFERROR(VLOOKUP($A51,table2[],3,FALSE),"-")</f>
        <v>-</v>
      </c>
      <c r="D51" s="151" t="str">
        <f>IFERROR(VLOOKUP($A51,table3[],3,FALSE),"-")</f>
        <v>-</v>
      </c>
      <c r="E51" s="151" t="str">
        <f>IFERROR(VLOOKUP($A51,table4[],3,FALSE),"-")</f>
        <v>-</v>
      </c>
      <c r="F51" s="151" t="str">
        <f>IFERROR(VLOOKUP($A51,table5[],3,FALSE),"-")</f>
        <v>-</v>
      </c>
      <c r="G51" s="151" t="str">
        <f>IFERROR(VLOOKUP($A51,table6[],3,FALSE),"-")</f>
        <v>-</v>
      </c>
      <c r="H51" s="151" t="str">
        <f>IFERROR(VLOOKUP($A51,table7[],12,FALSE),"-")</f>
        <v>-</v>
      </c>
      <c r="I51" s="151" t="str">
        <f>IFERROR(VLOOKUP($A51,table8[],3,FALSE),"-")</f>
        <v>-</v>
      </c>
      <c r="J51" s="151" t="str">
        <f>IFERROR(VLOOKUP($A51,table9[],3,FALSE),"-")</f>
        <v>-</v>
      </c>
      <c r="K51" s="151" t="str">
        <f>IFERROR(VLOOKUP($A51,table10[],3,FALSE),"-")</f>
        <v>-</v>
      </c>
      <c r="L51" s="119">
        <f>MAX(Table16[[#This Row],[Otay]:[Otay 4]])</f>
        <v>0</v>
      </c>
    </row>
    <row r="52" spans="1:12" ht="15" x14ac:dyDescent="0.2">
      <c r="A52" s="30" t="s">
        <v>232</v>
      </c>
      <c r="B52" s="151" t="str">
        <f>IFERROR(VLOOKUP($A52,table1[],3,FALSE),"-")</f>
        <v>-</v>
      </c>
      <c r="C52" s="151" t="str">
        <f>IFERROR(VLOOKUP($A52,table2[],3,FALSE),"-")</f>
        <v>-</v>
      </c>
      <c r="D52" s="151" t="str">
        <f>IFERROR(VLOOKUP($A52,table3[],3,FALSE),"-")</f>
        <v>-</v>
      </c>
      <c r="E52" s="151" t="str">
        <f>IFERROR(VLOOKUP($A52,table4[],3,FALSE),"-")</f>
        <v>-</v>
      </c>
      <c r="F52" s="151" t="str">
        <f>IFERROR(VLOOKUP($A52,table5[],3,FALSE),"-")</f>
        <v>-</v>
      </c>
      <c r="G52" s="151" t="str">
        <f>IFERROR(VLOOKUP($A52,table6[],3,FALSE),"-")</f>
        <v>-</v>
      </c>
      <c r="H52" s="151" t="str">
        <f>IFERROR(VLOOKUP($A52,table7[],12,FALSE),"-")</f>
        <v>-</v>
      </c>
      <c r="I52" s="151" t="str">
        <f>IFERROR(VLOOKUP($A52,table8[],3,FALSE),"-")</f>
        <v>-</v>
      </c>
      <c r="J52" s="151" t="str">
        <f>IFERROR(VLOOKUP($A52,table9[],3,FALSE),"-")</f>
        <v>-</v>
      </c>
      <c r="K52" s="151" t="str">
        <f>IFERROR(VLOOKUP($A52,table10[],3,FALSE),"-")</f>
        <v>-</v>
      </c>
      <c r="L52" s="119">
        <f>MAX(Table16[[#This Row],[Otay]:[Otay 4]])</f>
        <v>0</v>
      </c>
    </row>
    <row r="53" spans="1:12" ht="15" x14ac:dyDescent="0.2">
      <c r="A53" s="30" t="s">
        <v>146</v>
      </c>
      <c r="B53" s="151" t="str">
        <f>IFERROR(VLOOKUP($A53,table1[],3,FALSE),"-")</f>
        <v>-</v>
      </c>
      <c r="C53" s="151" t="str">
        <f>IFERROR(VLOOKUP($A53,table2[],3,FALSE),"-")</f>
        <v>-</v>
      </c>
      <c r="D53" s="151" t="str">
        <f>IFERROR(VLOOKUP($A53,table3[],3,FALSE),"-")</f>
        <v>-</v>
      </c>
      <c r="E53" s="151" t="str">
        <f>IFERROR(VLOOKUP($A53,table4[],3,FALSE),"-")</f>
        <v>-</v>
      </c>
      <c r="F53" s="151" t="str">
        <f>IFERROR(VLOOKUP($A53,table5[],3,FALSE),"-")</f>
        <v>-</v>
      </c>
      <c r="G53" s="151" t="str">
        <f>IFERROR(VLOOKUP($A53,table6[],3,FALSE),"-")</f>
        <v>-</v>
      </c>
      <c r="H53" s="151" t="str">
        <f>IFERROR(VLOOKUP($A53,table7[],12,FALSE),"-")</f>
        <v>-</v>
      </c>
      <c r="I53" s="151" t="str">
        <f>IFERROR(VLOOKUP($A53,table8[],3,FALSE),"-")</f>
        <v>-</v>
      </c>
      <c r="J53" s="151" t="str">
        <f>IFERROR(VLOOKUP($A53,table9[],3,FALSE),"-")</f>
        <v>-</v>
      </c>
      <c r="K53" s="151" t="str">
        <f>IFERROR(VLOOKUP($A53,table10[],3,FALSE),"-")</f>
        <v>-</v>
      </c>
      <c r="L53" s="119">
        <f>MAX(Table16[[#This Row],[Otay]:[Otay 4]])</f>
        <v>0</v>
      </c>
    </row>
    <row r="54" spans="1:12" ht="15" x14ac:dyDescent="0.2">
      <c r="A54" s="30" t="s">
        <v>109</v>
      </c>
      <c r="B54" s="151" t="str">
        <f>IFERROR(VLOOKUP($A54,table1[],3,FALSE),"-")</f>
        <v>-</v>
      </c>
      <c r="C54" s="151" t="str">
        <f>IFERROR(VLOOKUP($A54,table2[],3,FALSE),"-")</f>
        <v>-</v>
      </c>
      <c r="D54" s="151" t="str">
        <f>IFERROR(VLOOKUP($A54,table3[],3,FALSE),"-")</f>
        <v>-</v>
      </c>
      <c r="E54" s="151" t="str">
        <f>IFERROR(VLOOKUP($A54,table4[],3,FALSE),"-")</f>
        <v>-</v>
      </c>
      <c r="F54" s="151" t="str">
        <f>IFERROR(VLOOKUP($A54,table5[],3,FALSE),"-")</f>
        <v>-</v>
      </c>
      <c r="G54" s="151" t="str">
        <f>IFERROR(VLOOKUP($A54,table6[],3,FALSE),"-")</f>
        <v>-</v>
      </c>
      <c r="H54" s="151" t="str">
        <f>IFERROR(VLOOKUP($A54,table7[],12,FALSE),"-")</f>
        <v>-</v>
      </c>
      <c r="I54" s="151" t="str">
        <f>IFERROR(VLOOKUP($A54,table8[],3,FALSE),"-")</f>
        <v>-</v>
      </c>
      <c r="J54" s="151" t="str">
        <f>IFERROR(VLOOKUP($A54,table9[],3,FALSE),"-")</f>
        <v>-</v>
      </c>
      <c r="K54" s="151" t="str">
        <f>IFERROR(VLOOKUP($A54,table10[],3,FALSE),"-")</f>
        <v>-</v>
      </c>
      <c r="L54" s="119">
        <f>MAX(Table16[[#This Row],[Otay]:[Otay 4]])</f>
        <v>0</v>
      </c>
    </row>
    <row r="55" spans="1:12" ht="15" x14ac:dyDescent="0.2">
      <c r="A55" s="78" t="s">
        <v>267</v>
      </c>
      <c r="B55" s="151" t="str">
        <f>IFERROR(VLOOKUP($A55,table1[],3,FALSE),"-")</f>
        <v>-</v>
      </c>
      <c r="C55" s="151" t="str">
        <f>IFERROR(VLOOKUP($A55,table2[],3,FALSE),"-")</f>
        <v>-</v>
      </c>
      <c r="D55" s="151" t="str">
        <f>IFERROR(VLOOKUP($A55,table3[],3,FALSE),"-")</f>
        <v>-</v>
      </c>
      <c r="E55" s="151" t="str">
        <f>IFERROR(VLOOKUP($A55,table4[],3,FALSE),"-")</f>
        <v>-</v>
      </c>
      <c r="F55" s="151" t="str">
        <f>IFERROR(VLOOKUP($A55,table5[],3,FALSE),"-")</f>
        <v>-</v>
      </c>
      <c r="G55" s="151" t="str">
        <f>IFERROR(VLOOKUP($A55,table6[],3,FALSE),"-")</f>
        <v>-</v>
      </c>
      <c r="H55" s="151" t="str">
        <f>IFERROR(VLOOKUP($A55,table7[],12,FALSE),"-")</f>
        <v>-</v>
      </c>
      <c r="I55" s="151" t="str">
        <f>IFERROR(VLOOKUP($A55,table8[],3,FALSE),"-")</f>
        <v>-</v>
      </c>
      <c r="J55" s="151" t="str">
        <f>IFERROR(VLOOKUP($A55,table9[],3,FALSE),"-")</f>
        <v>-</v>
      </c>
      <c r="K55" s="151" t="str">
        <f>IFERROR(VLOOKUP($A55,table10[],3,FALSE),"-")</f>
        <v>-</v>
      </c>
      <c r="L55" s="119">
        <f>MAX(Table16[[#This Row],[Otay]:[Otay 4]])</f>
        <v>0</v>
      </c>
    </row>
    <row r="56" spans="1:12" ht="15" x14ac:dyDescent="0.2">
      <c r="A56" s="30" t="s">
        <v>250</v>
      </c>
      <c r="B56" s="151" t="str">
        <f>IFERROR(VLOOKUP($A56,table1[],3,FALSE),"-")</f>
        <v>-</v>
      </c>
      <c r="C56" s="151" t="str">
        <f>IFERROR(VLOOKUP($A56,table2[],3,FALSE),"-")</f>
        <v>-</v>
      </c>
      <c r="D56" s="151" t="str">
        <f>IFERROR(VLOOKUP($A56,table3[],3,FALSE),"-")</f>
        <v>-</v>
      </c>
      <c r="E56" s="151" t="str">
        <f>IFERROR(VLOOKUP($A56,table4[],3,FALSE),"-")</f>
        <v>-</v>
      </c>
      <c r="F56" s="151" t="str">
        <f>IFERROR(VLOOKUP($A56,table5[],3,FALSE),"-")</f>
        <v>-</v>
      </c>
      <c r="G56" s="151" t="str">
        <f>IFERROR(VLOOKUP($A56,table6[],3,FALSE),"-")</f>
        <v>-</v>
      </c>
      <c r="H56" s="151" t="str">
        <f>IFERROR(VLOOKUP($A56,table7[],12,FALSE),"-")</f>
        <v>-</v>
      </c>
      <c r="I56" s="151" t="str">
        <f>IFERROR(VLOOKUP($A56,table8[],3,FALSE),"-")</f>
        <v>-</v>
      </c>
      <c r="J56" s="151" t="str">
        <f>IFERROR(VLOOKUP($A56,table9[],3,FALSE),"-")</f>
        <v>-</v>
      </c>
      <c r="K56" s="151" t="str">
        <f>IFERROR(VLOOKUP($A56,table10[],3,FALSE),"-")</f>
        <v>-</v>
      </c>
      <c r="L56" s="119">
        <f>MAX(Table16[[#This Row],[Otay]:[Otay 4]])</f>
        <v>0</v>
      </c>
    </row>
    <row r="57" spans="1:12" ht="15" x14ac:dyDescent="0.2">
      <c r="A57" s="30" t="s">
        <v>51</v>
      </c>
      <c r="B57" s="151" t="str">
        <f>IFERROR(VLOOKUP($A57,table1[],3,FALSE),"-")</f>
        <v>-</v>
      </c>
      <c r="C57" s="151" t="str">
        <f>IFERROR(VLOOKUP($A57,table2[],3,FALSE),"-")</f>
        <v>-</v>
      </c>
      <c r="D57" s="151" t="str">
        <f>IFERROR(VLOOKUP($A57,table3[],3,FALSE),"-")</f>
        <v>-</v>
      </c>
      <c r="E57" s="151" t="str">
        <f>IFERROR(VLOOKUP($A57,table4[],3,FALSE),"-")</f>
        <v>-</v>
      </c>
      <c r="F57" s="151" t="str">
        <f>IFERROR(VLOOKUP($A57,table5[],3,FALSE),"-")</f>
        <v>-</v>
      </c>
      <c r="G57" s="151" t="str">
        <f>IFERROR(VLOOKUP($A57,table6[],3,FALSE),"-")</f>
        <v>-</v>
      </c>
      <c r="H57" s="151" t="str">
        <f>IFERROR(VLOOKUP($A57,table7[],12,FALSE),"-")</f>
        <v>-</v>
      </c>
      <c r="I57" s="151" t="str">
        <f>IFERROR(VLOOKUP($A57,table8[],3,FALSE),"-")</f>
        <v>-</v>
      </c>
      <c r="J57" s="151" t="str">
        <f>IFERROR(VLOOKUP($A57,table9[],3,FALSE),"-")</f>
        <v>-</v>
      </c>
      <c r="K57" s="151" t="str">
        <f>IFERROR(VLOOKUP($A57,table10[],3,FALSE),"-")</f>
        <v>-</v>
      </c>
      <c r="L57" s="119">
        <f>MAX(Table16[[#This Row],[Otay]:[Otay 4]])</f>
        <v>0</v>
      </c>
    </row>
    <row r="58" spans="1:12" ht="15" x14ac:dyDescent="0.2">
      <c r="A58" s="30" t="s">
        <v>235</v>
      </c>
      <c r="B58" s="151" t="str">
        <f>IFERROR(VLOOKUP($A58,table1[],3,FALSE),"-")</f>
        <v>-</v>
      </c>
      <c r="C58" s="151" t="str">
        <f>IFERROR(VLOOKUP($A58,table2[],3,FALSE),"-")</f>
        <v>-</v>
      </c>
      <c r="D58" s="151" t="str">
        <f>IFERROR(VLOOKUP($A58,table3[],3,FALSE),"-")</f>
        <v>-</v>
      </c>
      <c r="E58" s="151" t="str">
        <f>IFERROR(VLOOKUP($A58,table4[],3,FALSE),"-")</f>
        <v>-</v>
      </c>
      <c r="F58" s="151" t="str">
        <f>IFERROR(VLOOKUP($A58,table5[],3,FALSE),"-")</f>
        <v>-</v>
      </c>
      <c r="G58" s="151" t="str">
        <f>IFERROR(VLOOKUP($A58,table6[],3,FALSE),"-")</f>
        <v>-</v>
      </c>
      <c r="H58" s="151" t="str">
        <f>IFERROR(VLOOKUP($A58,table7[],12,FALSE),"-")</f>
        <v>-</v>
      </c>
      <c r="I58" s="151" t="str">
        <f>IFERROR(VLOOKUP($A58,table8[],3,FALSE),"-")</f>
        <v>-</v>
      </c>
      <c r="J58" s="151" t="str">
        <f>IFERROR(VLOOKUP($A58,table9[],3,FALSE),"-")</f>
        <v>-</v>
      </c>
      <c r="K58" s="151" t="str">
        <f>IFERROR(VLOOKUP($A58,table10[],3,FALSE),"-")</f>
        <v>-</v>
      </c>
      <c r="L58" s="119">
        <f>MAX(Table16[[#This Row],[Otay]:[Otay 4]])</f>
        <v>0</v>
      </c>
    </row>
    <row r="59" spans="1:12" ht="15" x14ac:dyDescent="0.2">
      <c r="A59" s="30" t="s">
        <v>252</v>
      </c>
      <c r="B59" s="151" t="str">
        <f>IFERROR(VLOOKUP($A59,table1[],3,FALSE),"-")</f>
        <v>-</v>
      </c>
      <c r="C59" s="151" t="str">
        <f>IFERROR(VLOOKUP($A59,table2[],3,FALSE),"-")</f>
        <v>-</v>
      </c>
      <c r="D59" s="151" t="str">
        <f>IFERROR(VLOOKUP($A59,table3[],3,FALSE),"-")</f>
        <v>-</v>
      </c>
      <c r="E59" s="151" t="str">
        <f>IFERROR(VLOOKUP($A59,table4[],3,FALSE),"-")</f>
        <v>-</v>
      </c>
      <c r="F59" s="151" t="str">
        <f>IFERROR(VLOOKUP($A59,table5[],3,FALSE),"-")</f>
        <v>-</v>
      </c>
      <c r="G59" s="151" t="str">
        <f>IFERROR(VLOOKUP($A59,table6[],3,FALSE),"-")</f>
        <v>-</v>
      </c>
      <c r="H59" s="151" t="str">
        <f>IFERROR(VLOOKUP($A59,table7[],12,FALSE),"-")</f>
        <v>-</v>
      </c>
      <c r="I59" s="151" t="str">
        <f>IFERROR(VLOOKUP($A59,table8[],3,FALSE),"-")</f>
        <v>-</v>
      </c>
      <c r="J59" s="151" t="str">
        <f>IFERROR(VLOOKUP($A59,table9[],3,FALSE),"-")</f>
        <v>-</v>
      </c>
      <c r="K59" s="151" t="str">
        <f>IFERROR(VLOOKUP($A59,table10[],3,FALSE),"-")</f>
        <v>-</v>
      </c>
      <c r="L59" s="119">
        <f>MAX(Table16[[#This Row],[Otay]:[Otay 4]])</f>
        <v>0</v>
      </c>
    </row>
    <row r="60" spans="1:12" ht="15" x14ac:dyDescent="0.2">
      <c r="A60" s="30" t="s">
        <v>39</v>
      </c>
      <c r="B60" s="151" t="str">
        <f>IFERROR(VLOOKUP($A60,table1[],3,FALSE),"-")</f>
        <v>-</v>
      </c>
      <c r="C60" s="151" t="str">
        <f>IFERROR(VLOOKUP($A60,table2[],3,FALSE),"-")</f>
        <v>-</v>
      </c>
      <c r="D60" s="151" t="str">
        <f>IFERROR(VLOOKUP($A60,table3[],3,FALSE),"-")</f>
        <v>-</v>
      </c>
      <c r="E60" s="151" t="str">
        <f>IFERROR(VLOOKUP($A60,table4[],3,FALSE),"-")</f>
        <v>-</v>
      </c>
      <c r="F60" s="151" t="str">
        <f>IFERROR(VLOOKUP($A60,table5[],3,FALSE),"-")</f>
        <v>-</v>
      </c>
      <c r="G60" s="151" t="str">
        <f>IFERROR(VLOOKUP($A60,table6[],3,FALSE),"-")</f>
        <v>-</v>
      </c>
      <c r="H60" s="151" t="str">
        <f>IFERROR(VLOOKUP($A60,table7[],12,FALSE),"-")</f>
        <v>-</v>
      </c>
      <c r="I60" s="151" t="str">
        <f>IFERROR(VLOOKUP($A60,table8[],3,FALSE),"-")</f>
        <v>-</v>
      </c>
      <c r="J60" s="151" t="str">
        <f>IFERROR(VLOOKUP($A60,table9[],3,FALSE),"-")</f>
        <v>-</v>
      </c>
      <c r="K60" s="151" t="str">
        <f>IFERROR(VLOOKUP($A60,table10[],3,FALSE),"-")</f>
        <v>-</v>
      </c>
      <c r="L60" s="119">
        <f>MAX(Table16[[#This Row],[Otay]:[Otay 4]])</f>
        <v>0</v>
      </c>
    </row>
    <row r="61" spans="1:12" ht="15" x14ac:dyDescent="0.2">
      <c r="A61" s="131" t="s">
        <v>141</v>
      </c>
      <c r="B61" s="151" t="str">
        <f>IFERROR(VLOOKUP($A61,table1[],3,FALSE),"-")</f>
        <v>-</v>
      </c>
      <c r="C61" s="151" t="str">
        <f>IFERROR(VLOOKUP($A61,table2[],3,FALSE),"-")</f>
        <v>-</v>
      </c>
      <c r="D61" s="151" t="str">
        <f>IFERROR(VLOOKUP($A61,table3[],3,FALSE),"-")</f>
        <v>-</v>
      </c>
      <c r="E61" s="151" t="str">
        <f>IFERROR(VLOOKUP($A61,table4[],3,FALSE),"-")</f>
        <v>-</v>
      </c>
      <c r="F61" s="151" t="str">
        <f>IFERROR(VLOOKUP($A61,table5[],3,FALSE),"-")</f>
        <v>-</v>
      </c>
      <c r="G61" s="151" t="str">
        <f>IFERROR(VLOOKUP($A61,table6[],3,FALSE),"-")</f>
        <v>-</v>
      </c>
      <c r="H61" s="151" t="str">
        <f>IFERROR(VLOOKUP($A61,table7[],12,FALSE),"-")</f>
        <v>-</v>
      </c>
      <c r="I61" s="151" t="str">
        <f>IFERROR(VLOOKUP($A61,table8[],3,FALSE),"-")</f>
        <v>-</v>
      </c>
      <c r="J61" s="151" t="str">
        <f>IFERROR(VLOOKUP($A61,table9[],3,FALSE),"-")</f>
        <v>-</v>
      </c>
      <c r="K61" s="151" t="str">
        <f>IFERROR(VLOOKUP($A61,table10[],3,FALSE),"-")</f>
        <v>-</v>
      </c>
      <c r="L61" s="119">
        <f>MAX(Table16[[#This Row],[Otay]:[Otay 4]])</f>
        <v>0</v>
      </c>
    </row>
    <row r="62" spans="1:12" ht="15" x14ac:dyDescent="0.2">
      <c r="A62" s="30" t="s">
        <v>244</v>
      </c>
      <c r="B62" s="151" t="str">
        <f>IFERROR(VLOOKUP($A62,table1[],3,FALSE),"-")</f>
        <v>-</v>
      </c>
      <c r="C62" s="151" t="str">
        <f>IFERROR(VLOOKUP($A62,table2[],3,FALSE),"-")</f>
        <v>-</v>
      </c>
      <c r="D62" s="151" t="str">
        <f>IFERROR(VLOOKUP($A62,table3[],3,FALSE),"-")</f>
        <v>-</v>
      </c>
      <c r="E62" s="151" t="str">
        <f>IFERROR(VLOOKUP($A62,table4[],3,FALSE),"-")</f>
        <v>-</v>
      </c>
      <c r="F62" s="151" t="str">
        <f>IFERROR(VLOOKUP($A62,table5[],3,FALSE),"-")</f>
        <v>-</v>
      </c>
      <c r="G62" s="151" t="str">
        <f>IFERROR(VLOOKUP($A62,table6[],3,FALSE),"-")</f>
        <v>-</v>
      </c>
      <c r="H62" s="151" t="str">
        <f>IFERROR(VLOOKUP($A62,table7[],12,FALSE),"-")</f>
        <v>-</v>
      </c>
      <c r="I62" s="151" t="str">
        <f>IFERROR(VLOOKUP($A62,table8[],3,FALSE),"-")</f>
        <v>-</v>
      </c>
      <c r="J62" s="151" t="str">
        <f>IFERROR(VLOOKUP($A62,table9[],3,FALSE),"-")</f>
        <v>-</v>
      </c>
      <c r="K62" s="151" t="str">
        <f>IFERROR(VLOOKUP($A62,table10[],3,FALSE),"-")</f>
        <v>-</v>
      </c>
      <c r="L62" s="119">
        <f>MAX(Table16[[#This Row],[Otay]:[Otay 4]])</f>
        <v>0</v>
      </c>
    </row>
    <row r="63" spans="1:12" ht="15" x14ac:dyDescent="0.2">
      <c r="A63" s="30" t="s">
        <v>119</v>
      </c>
      <c r="B63" s="151" t="str">
        <f>IFERROR(VLOOKUP($A63,table1[],3,FALSE),"-")</f>
        <v>-</v>
      </c>
      <c r="C63" s="151" t="str">
        <f>IFERROR(VLOOKUP($A63,table2[],3,FALSE),"-")</f>
        <v>-</v>
      </c>
      <c r="D63" s="151" t="str">
        <f>IFERROR(VLOOKUP($A63,table3[],3,FALSE),"-")</f>
        <v>-</v>
      </c>
      <c r="E63" s="151" t="str">
        <f>IFERROR(VLOOKUP($A63,table4[],3,FALSE),"-")</f>
        <v>-</v>
      </c>
      <c r="F63" s="151" t="str">
        <f>IFERROR(VLOOKUP($A63,table5[],3,FALSE),"-")</f>
        <v>-</v>
      </c>
      <c r="G63" s="151" t="str">
        <f>IFERROR(VLOOKUP($A63,table6[],3,FALSE),"-")</f>
        <v>-</v>
      </c>
      <c r="H63" s="151" t="str">
        <f>IFERROR(VLOOKUP($A63,table7[],12,FALSE),"-")</f>
        <v>-</v>
      </c>
      <c r="I63" s="151" t="str">
        <f>IFERROR(VLOOKUP($A63,table8[],3,FALSE),"-")</f>
        <v>-</v>
      </c>
      <c r="J63" s="151" t="str">
        <f>IFERROR(VLOOKUP($A63,table9[],3,FALSE),"-")</f>
        <v>-</v>
      </c>
      <c r="K63" s="151" t="str">
        <f>IFERROR(VLOOKUP($A63,table10[],3,FALSE),"-")</f>
        <v>-</v>
      </c>
      <c r="L63" s="119">
        <f>MAX(Table16[[#This Row],[Otay]:[Otay 4]])</f>
        <v>0</v>
      </c>
    </row>
    <row r="64" spans="1:12" ht="15" x14ac:dyDescent="0.2">
      <c r="A64" s="30" t="s">
        <v>243</v>
      </c>
      <c r="B64" s="151" t="str">
        <f>IFERROR(VLOOKUP($A64,table1[],3,FALSE),"-")</f>
        <v>-</v>
      </c>
      <c r="C64" s="151" t="str">
        <f>IFERROR(VLOOKUP($A64,table2[],3,FALSE),"-")</f>
        <v>-</v>
      </c>
      <c r="D64" s="151" t="str">
        <f>IFERROR(VLOOKUP($A64,table3[],3,FALSE),"-")</f>
        <v>-</v>
      </c>
      <c r="E64" s="151" t="str">
        <f>IFERROR(VLOOKUP($A64,table4[],3,FALSE),"-")</f>
        <v>-</v>
      </c>
      <c r="F64" s="151" t="str">
        <f>IFERROR(VLOOKUP($A64,table5[],3,FALSE),"-")</f>
        <v>-</v>
      </c>
      <c r="G64" s="151" t="str">
        <f>IFERROR(VLOOKUP($A64,table6[],3,FALSE),"-")</f>
        <v>-</v>
      </c>
      <c r="H64" s="151" t="str">
        <f>IFERROR(VLOOKUP($A64,table7[],12,FALSE),"-")</f>
        <v>-</v>
      </c>
      <c r="I64" s="151" t="str">
        <f>IFERROR(VLOOKUP($A64,table8[],3,FALSE),"-")</f>
        <v>-</v>
      </c>
      <c r="J64" s="151" t="str">
        <f>IFERROR(VLOOKUP($A64,table9[],3,FALSE),"-")</f>
        <v>-</v>
      </c>
      <c r="K64" s="151" t="str">
        <f>IFERROR(VLOOKUP($A64,table10[],3,FALSE),"-")</f>
        <v>-</v>
      </c>
      <c r="L64" s="119">
        <f>MAX(Table16[[#This Row],[Otay]:[Otay 4]])</f>
        <v>0</v>
      </c>
    </row>
    <row r="65" spans="1:12" ht="15" x14ac:dyDescent="0.2">
      <c r="A65" s="30" t="s">
        <v>251</v>
      </c>
      <c r="B65" s="151" t="str">
        <f>IFERROR(VLOOKUP($A65,table1[],3,FALSE),"-")</f>
        <v>-</v>
      </c>
      <c r="C65" s="151" t="str">
        <f>IFERROR(VLOOKUP($A65,table2[],3,FALSE),"-")</f>
        <v>-</v>
      </c>
      <c r="D65" s="151" t="str">
        <f>IFERROR(VLOOKUP($A65,table3[],3,FALSE),"-")</f>
        <v>-</v>
      </c>
      <c r="E65" s="151" t="str">
        <f>IFERROR(VLOOKUP($A65,table4[],3,FALSE),"-")</f>
        <v>-</v>
      </c>
      <c r="F65" s="151" t="str">
        <f>IFERROR(VLOOKUP($A65,table5[],3,FALSE),"-")</f>
        <v>-</v>
      </c>
      <c r="G65" s="151" t="str">
        <f>IFERROR(VLOOKUP($A65,table6[],3,FALSE),"-")</f>
        <v>-</v>
      </c>
      <c r="H65" s="151" t="str">
        <f>IFERROR(VLOOKUP($A65,table7[],12,FALSE),"-")</f>
        <v>-</v>
      </c>
      <c r="I65" s="151" t="str">
        <f>IFERROR(VLOOKUP($A65,table8[],3,FALSE),"-")</f>
        <v>-</v>
      </c>
      <c r="J65" s="151" t="str">
        <f>IFERROR(VLOOKUP($A65,table9[],3,FALSE),"-")</f>
        <v>-</v>
      </c>
      <c r="K65" s="151" t="str">
        <f>IFERROR(VLOOKUP($A65,table10[],3,FALSE),"-")</f>
        <v>-</v>
      </c>
      <c r="L65" s="119">
        <f>MAX(Table16[[#This Row],[Otay]:[Otay 4]])</f>
        <v>0</v>
      </c>
    </row>
    <row r="66" spans="1:12" ht="15" x14ac:dyDescent="0.2">
      <c r="A66" s="30" t="s">
        <v>249</v>
      </c>
      <c r="B66" s="151" t="str">
        <f>IFERROR(VLOOKUP($A66,table1[],3,FALSE),"-")</f>
        <v>-</v>
      </c>
      <c r="C66" s="151" t="str">
        <f>IFERROR(VLOOKUP($A66,table2[],3,FALSE),"-")</f>
        <v>-</v>
      </c>
      <c r="D66" s="151" t="str">
        <f>IFERROR(VLOOKUP($A66,table3[],3,FALSE),"-")</f>
        <v>-</v>
      </c>
      <c r="E66" s="151" t="str">
        <f>IFERROR(VLOOKUP($A66,table4[],3,FALSE),"-")</f>
        <v>-</v>
      </c>
      <c r="F66" s="151" t="str">
        <f>IFERROR(VLOOKUP($A66,table5[],3,FALSE),"-")</f>
        <v>-</v>
      </c>
      <c r="G66" s="151" t="str">
        <f>IFERROR(VLOOKUP($A66,table6[],3,FALSE),"-")</f>
        <v>-</v>
      </c>
      <c r="H66" s="151" t="str">
        <f>IFERROR(VLOOKUP($A66,table7[],12,FALSE),"-")</f>
        <v>-</v>
      </c>
      <c r="I66" s="151" t="str">
        <f>IFERROR(VLOOKUP($A66,table8[],3,FALSE),"-")</f>
        <v>-</v>
      </c>
      <c r="J66" s="151" t="str">
        <f>IFERROR(VLOOKUP($A66,table9[],3,FALSE),"-")</f>
        <v>-</v>
      </c>
      <c r="K66" s="151" t="str">
        <f>IFERROR(VLOOKUP($A66,table10[],3,FALSE),"-")</f>
        <v>-</v>
      </c>
      <c r="L66" s="119">
        <f>MAX(Table16[[#This Row],[Otay]:[Otay 4]])</f>
        <v>0</v>
      </c>
    </row>
    <row r="67" spans="1:12" ht="15" x14ac:dyDescent="0.2">
      <c r="A67" s="30" t="s">
        <v>178</v>
      </c>
      <c r="B67" s="151" t="str">
        <f>IFERROR(VLOOKUP($A67,table1[],3,FALSE),"-")</f>
        <v>-</v>
      </c>
      <c r="C67" s="151" t="str">
        <f>IFERROR(VLOOKUP($A67,table2[],3,FALSE),"-")</f>
        <v>-</v>
      </c>
      <c r="D67" s="151" t="str">
        <f>IFERROR(VLOOKUP($A67,table3[],3,FALSE),"-")</f>
        <v>-</v>
      </c>
      <c r="E67" s="151" t="str">
        <f>IFERROR(VLOOKUP($A67,table4[],3,FALSE),"-")</f>
        <v>-</v>
      </c>
      <c r="F67" s="151" t="str">
        <f>IFERROR(VLOOKUP($A67,table5[],3,FALSE),"-")</f>
        <v>-</v>
      </c>
      <c r="G67" s="151" t="str">
        <f>IFERROR(VLOOKUP($A67,table6[],3,FALSE),"-")</f>
        <v>-</v>
      </c>
      <c r="H67" s="151" t="str">
        <f>IFERROR(VLOOKUP($A67,table7[],12,FALSE),"-")</f>
        <v>-</v>
      </c>
      <c r="I67" s="151" t="str">
        <f>IFERROR(VLOOKUP($A67,table8[],3,FALSE),"-")</f>
        <v>-</v>
      </c>
      <c r="J67" s="151" t="str">
        <f>IFERROR(VLOOKUP($A67,table9[],3,FALSE),"-")</f>
        <v>-</v>
      </c>
      <c r="K67" s="151" t="str">
        <f>IFERROR(VLOOKUP($A67,table10[],3,FALSE),"-")</f>
        <v>-</v>
      </c>
      <c r="L67" s="119">
        <f>MAX(Table16[[#This Row],[Otay]:[Otay 4]])</f>
        <v>0</v>
      </c>
    </row>
    <row r="68" spans="1:12" ht="15" x14ac:dyDescent="0.2">
      <c r="A68" s="30" t="s">
        <v>247</v>
      </c>
      <c r="B68" s="151" t="str">
        <f>IFERROR(VLOOKUP($A68,table1[],3,FALSE),"-")</f>
        <v>-</v>
      </c>
      <c r="C68" s="151" t="str">
        <f>IFERROR(VLOOKUP($A68,table2[],3,FALSE),"-")</f>
        <v>-</v>
      </c>
      <c r="D68" s="151" t="str">
        <f>IFERROR(VLOOKUP($A68,table3[],3,FALSE),"-")</f>
        <v>-</v>
      </c>
      <c r="E68" s="151" t="str">
        <f>IFERROR(VLOOKUP($A68,table4[],3,FALSE),"-")</f>
        <v>-</v>
      </c>
      <c r="F68" s="151" t="str">
        <f>IFERROR(VLOOKUP($A68,table5[],3,FALSE),"-")</f>
        <v>-</v>
      </c>
      <c r="G68" s="151" t="str">
        <f>IFERROR(VLOOKUP($A68,table6[],3,FALSE),"-")</f>
        <v>-</v>
      </c>
      <c r="H68" s="151" t="str">
        <f>IFERROR(VLOOKUP($A68,table7[],12,FALSE),"-")</f>
        <v>-</v>
      </c>
      <c r="I68" s="151" t="str">
        <f>IFERROR(VLOOKUP($A68,table8[],3,FALSE),"-")</f>
        <v>-</v>
      </c>
      <c r="J68" s="151" t="str">
        <f>IFERROR(VLOOKUP($A68,table9[],3,FALSE),"-")</f>
        <v>-</v>
      </c>
      <c r="K68" s="151" t="str">
        <f>IFERROR(VLOOKUP($A68,table10[],3,FALSE),"-")</f>
        <v>-</v>
      </c>
      <c r="L68" s="119">
        <f>MAX(Table16[[#This Row],[Otay]:[Otay 4]])</f>
        <v>0</v>
      </c>
    </row>
    <row r="69" spans="1:12" ht="15" x14ac:dyDescent="0.2">
      <c r="A69" s="30" t="s">
        <v>233</v>
      </c>
      <c r="B69" s="151" t="str">
        <f>IFERROR(VLOOKUP($A69,table1[],3,FALSE),"-")</f>
        <v>-</v>
      </c>
      <c r="C69" s="151" t="str">
        <f>IFERROR(VLOOKUP($A69,table2[],3,FALSE),"-")</f>
        <v>-</v>
      </c>
      <c r="D69" s="151" t="str">
        <f>IFERROR(VLOOKUP($A69,table3[],3,FALSE),"-")</f>
        <v>-</v>
      </c>
      <c r="E69" s="151" t="str">
        <f>IFERROR(VLOOKUP($A69,table4[],3,FALSE),"-")</f>
        <v>-</v>
      </c>
      <c r="F69" s="151" t="str">
        <f>IFERROR(VLOOKUP($A69,table5[],3,FALSE),"-")</f>
        <v>-</v>
      </c>
      <c r="G69" s="151" t="str">
        <f>IFERROR(VLOOKUP($A69,table6[],3,FALSE),"-")</f>
        <v>-</v>
      </c>
      <c r="H69" s="151" t="str">
        <f>IFERROR(VLOOKUP($A69,table7[],12,FALSE),"-")</f>
        <v>-</v>
      </c>
      <c r="I69" s="151" t="str">
        <f>IFERROR(VLOOKUP($A69,table8[],3,FALSE),"-")</f>
        <v>-</v>
      </c>
      <c r="J69" s="151" t="str">
        <f>IFERROR(VLOOKUP($A69,table9[],3,FALSE),"-")</f>
        <v>-</v>
      </c>
      <c r="K69" s="151" t="str">
        <f>IFERROR(VLOOKUP($A69,table10[],3,FALSE),"-")</f>
        <v>-</v>
      </c>
      <c r="L69" s="119">
        <f>MAX(Table16[[#This Row],[Otay]:[Otay 4]])</f>
        <v>0</v>
      </c>
    </row>
    <row r="70" spans="1:12" ht="15" x14ac:dyDescent="0.2">
      <c r="A70" s="30" t="s">
        <v>52</v>
      </c>
      <c r="B70" s="151" t="str">
        <f>IFERROR(VLOOKUP($A70,table1[],3,FALSE),"-")</f>
        <v>-</v>
      </c>
      <c r="C70" s="151" t="str">
        <f>IFERROR(VLOOKUP($A70,table2[],3,FALSE),"-")</f>
        <v>-</v>
      </c>
      <c r="D70" s="151" t="str">
        <f>IFERROR(VLOOKUP($A70,table3[],3,FALSE),"-")</f>
        <v>-</v>
      </c>
      <c r="E70" s="151" t="str">
        <f>IFERROR(VLOOKUP($A70,table4[],3,FALSE),"-")</f>
        <v>-</v>
      </c>
      <c r="F70" s="151" t="str">
        <f>IFERROR(VLOOKUP($A70,table5[],3,FALSE),"-")</f>
        <v>-</v>
      </c>
      <c r="G70" s="151" t="str">
        <f>IFERROR(VLOOKUP($A70,table6[],3,FALSE),"-")</f>
        <v>-</v>
      </c>
      <c r="H70" s="151" t="str">
        <f>IFERROR(VLOOKUP($A70,table7[],12,FALSE),"-")</f>
        <v>-</v>
      </c>
      <c r="I70" s="151" t="str">
        <f>IFERROR(VLOOKUP($A70,table8[],3,FALSE),"-")</f>
        <v>-</v>
      </c>
      <c r="J70" s="151" t="str">
        <f>IFERROR(VLOOKUP($A70,table9[],3,FALSE),"-")</f>
        <v>-</v>
      </c>
      <c r="K70" s="151" t="str">
        <f>IFERROR(VLOOKUP($A70,table10[],3,FALSE),"-")</f>
        <v>-</v>
      </c>
      <c r="L70" s="119">
        <f>MAX(Table16[[#This Row],[Otay]:[Otay 4]])</f>
        <v>0</v>
      </c>
    </row>
    <row r="71" spans="1:12" ht="15" x14ac:dyDescent="0.2">
      <c r="A71" s="30" t="s">
        <v>246</v>
      </c>
      <c r="B71" s="151" t="str">
        <f>IFERROR(VLOOKUP($A71,table1[],3,FALSE),"-")</f>
        <v>-</v>
      </c>
      <c r="C71" s="151" t="str">
        <f>IFERROR(VLOOKUP($A71,table2[],3,FALSE),"-")</f>
        <v>-</v>
      </c>
      <c r="D71" s="151" t="str">
        <f>IFERROR(VLOOKUP($A71,table3[],3,FALSE),"-")</f>
        <v>-</v>
      </c>
      <c r="E71" s="151" t="str">
        <f>IFERROR(VLOOKUP($A71,table4[],3,FALSE),"-")</f>
        <v>-</v>
      </c>
      <c r="F71" s="151" t="str">
        <f>IFERROR(VLOOKUP($A71,table5[],3,FALSE),"-")</f>
        <v>-</v>
      </c>
      <c r="G71" s="151" t="str">
        <f>IFERROR(VLOOKUP($A71,table6[],3,FALSE),"-")</f>
        <v>-</v>
      </c>
      <c r="H71" s="151" t="str">
        <f>IFERROR(VLOOKUP($A71,table7[],12,FALSE),"-")</f>
        <v>-</v>
      </c>
      <c r="I71" s="151" t="str">
        <f>IFERROR(VLOOKUP($A71,table8[],3,FALSE),"-")</f>
        <v>-</v>
      </c>
      <c r="J71" s="151" t="str">
        <f>IFERROR(VLOOKUP($A71,table9[],3,FALSE),"-")</f>
        <v>-</v>
      </c>
      <c r="K71" s="151" t="str">
        <f>IFERROR(VLOOKUP($A71,table10[],3,FALSE),"-")</f>
        <v>-</v>
      </c>
      <c r="L71" s="119">
        <f>MAX(Table16[[#This Row],[Otay]:[Otay 4]])</f>
        <v>0</v>
      </c>
    </row>
    <row r="72" spans="1:12" ht="15" x14ac:dyDescent="0.2">
      <c r="A72" s="30" t="s">
        <v>70</v>
      </c>
      <c r="B72" s="151" t="str">
        <f>IFERROR(VLOOKUP($A72,table1[],3,FALSE),"-")</f>
        <v>-</v>
      </c>
      <c r="C72" s="151" t="str">
        <f>IFERROR(VLOOKUP($A72,table2[],3,FALSE),"-")</f>
        <v>-</v>
      </c>
      <c r="D72" s="151" t="str">
        <f>IFERROR(VLOOKUP($A72,table3[],3,FALSE),"-")</f>
        <v>-</v>
      </c>
      <c r="E72" s="151">
        <f>IFERROR(VLOOKUP($A72,table4[],3,FALSE),"-")</f>
        <v>0</v>
      </c>
      <c r="F72" s="151" t="str">
        <f>IFERROR(VLOOKUP($A72,table5[],3,FALSE),"-")</f>
        <v>-</v>
      </c>
      <c r="G72" s="151" t="str">
        <f>IFERROR(VLOOKUP($A72,table6[],3,FALSE),"-")</f>
        <v>-</v>
      </c>
      <c r="H72" s="151" t="str">
        <f>IFERROR(VLOOKUP($A72,table7[],12,FALSE),"-")</f>
        <v>-</v>
      </c>
      <c r="I72" s="151" t="str">
        <f>IFERROR(VLOOKUP($A72,table8[],3,FALSE),"-")</f>
        <v>-</v>
      </c>
      <c r="J72" s="151" t="str">
        <f>IFERROR(VLOOKUP($A72,table9[],3,FALSE),"-")</f>
        <v>-</v>
      </c>
      <c r="K72" s="151" t="str">
        <f>IFERROR(VLOOKUP($A72,table10[],3,FALSE),"-")</f>
        <v>-</v>
      </c>
      <c r="L72" s="119">
        <f>MAX(Table16[[#This Row],[Otay]:[Otay 4]])</f>
        <v>0</v>
      </c>
    </row>
    <row r="73" spans="1:12" ht="15" x14ac:dyDescent="0.2">
      <c r="A73" s="30" t="s">
        <v>55</v>
      </c>
      <c r="B73" s="151" t="str">
        <f>IFERROR(VLOOKUP($A73,table1[],3,FALSE),"-")</f>
        <v>-</v>
      </c>
      <c r="C73" s="151" t="str">
        <f>IFERROR(VLOOKUP($A73,table2[],3,FALSE),"-")</f>
        <v>-</v>
      </c>
      <c r="D73" s="151" t="str">
        <f>IFERROR(VLOOKUP($A73,table3[],3,FALSE),"-")</f>
        <v>-</v>
      </c>
      <c r="E73" s="151" t="str">
        <f>IFERROR(VLOOKUP($A73,table4[],3,FALSE),"-")</f>
        <v>-</v>
      </c>
      <c r="F73" s="151" t="str">
        <f>IFERROR(VLOOKUP($A73,table5[],3,FALSE),"-")</f>
        <v>-</v>
      </c>
      <c r="G73" s="151" t="str">
        <f>IFERROR(VLOOKUP($A73,table6[],3,FALSE),"-")</f>
        <v>-</v>
      </c>
      <c r="H73" s="151" t="str">
        <f>IFERROR(VLOOKUP($A73,table7[],12,FALSE),"-")</f>
        <v>-</v>
      </c>
      <c r="I73" s="151" t="str">
        <f>IFERROR(VLOOKUP($A73,table8[],3,FALSE),"-")</f>
        <v>-</v>
      </c>
      <c r="J73" s="151" t="str">
        <f>IFERROR(VLOOKUP($A73,table9[],3,FALSE),"-")</f>
        <v>-</v>
      </c>
      <c r="K73" s="151" t="str">
        <f>IFERROR(VLOOKUP($A73,table10[],3,FALSE),"-")</f>
        <v>-</v>
      </c>
      <c r="L73" s="119">
        <f>MAX(Table16[[#This Row],[Otay]:[Otay 4]])</f>
        <v>0</v>
      </c>
    </row>
    <row r="74" spans="1:12" ht="15" x14ac:dyDescent="0.2">
      <c r="A74" s="30" t="s">
        <v>96</v>
      </c>
      <c r="B74" s="151" t="str">
        <f>IFERROR(VLOOKUP($A74,table1[],3,FALSE),"-")</f>
        <v>-</v>
      </c>
      <c r="C74" s="151" t="str">
        <f>IFERROR(VLOOKUP($A74,table2[],3,FALSE),"-")</f>
        <v>-</v>
      </c>
      <c r="D74" s="151" t="str">
        <f>IFERROR(VLOOKUP($A74,table3[],3,FALSE),"-")</f>
        <v>-</v>
      </c>
      <c r="E74" s="151" t="str">
        <f>IFERROR(VLOOKUP($A74,table4[],3,FALSE),"-")</f>
        <v>-</v>
      </c>
      <c r="F74" s="151" t="str">
        <f>IFERROR(VLOOKUP($A74,table5[],3,FALSE),"-")</f>
        <v>-</v>
      </c>
      <c r="G74" s="151" t="str">
        <f>IFERROR(VLOOKUP($A74,table6[],3,FALSE),"-")</f>
        <v>-</v>
      </c>
      <c r="H74" s="151" t="str">
        <f>IFERROR(VLOOKUP($A74,table7[],12,FALSE),"-")</f>
        <v>-</v>
      </c>
      <c r="I74" s="151" t="str">
        <f>IFERROR(VLOOKUP($A74,table8[],3,FALSE),"-")</f>
        <v>-</v>
      </c>
      <c r="J74" s="151" t="str">
        <f>IFERROR(VLOOKUP($A74,table9[],3,FALSE),"-")</f>
        <v>-</v>
      </c>
      <c r="K74" s="151" t="str">
        <f>IFERROR(VLOOKUP($A74,table10[],3,FALSE),"-")</f>
        <v>-</v>
      </c>
      <c r="L74" s="119">
        <f>MAX(Table16[[#This Row],[Otay]:[Otay 4]])</f>
        <v>0</v>
      </c>
    </row>
    <row r="75" spans="1:12" ht="15" x14ac:dyDescent="0.2">
      <c r="A75" s="30" t="s">
        <v>171</v>
      </c>
      <c r="B75" s="152" t="str">
        <f>IFERROR(VLOOKUP($A75,table1[],3,FALSE),"-")</f>
        <v>-</v>
      </c>
      <c r="C75" s="152" t="str">
        <f>IFERROR(VLOOKUP($A75,table2[],3,FALSE),"-")</f>
        <v>-</v>
      </c>
      <c r="D75" s="152" t="str">
        <f>IFERROR(VLOOKUP($A75,table3[],3,FALSE),"-")</f>
        <v>-</v>
      </c>
      <c r="E75" s="152" t="str">
        <f>IFERROR(VLOOKUP($A75,table4[],3,FALSE),"-")</f>
        <v>-</v>
      </c>
      <c r="F75" s="152" t="str">
        <f>IFERROR(VLOOKUP($A75,table5[],3,FALSE),"-")</f>
        <v>-</v>
      </c>
      <c r="G75" s="152" t="str">
        <f>IFERROR(VLOOKUP($A75,table6[],3,FALSE),"-")</f>
        <v>-</v>
      </c>
      <c r="H75" s="152" t="str">
        <f>IFERROR(VLOOKUP($A75,table7[],12,FALSE),"-")</f>
        <v>-</v>
      </c>
      <c r="I75" s="152" t="str">
        <f>IFERROR(VLOOKUP($A75,table8[],3,FALSE),"-")</f>
        <v>-</v>
      </c>
      <c r="J75" s="152" t="str">
        <f>IFERROR(VLOOKUP($A75,table9[],3,FALSE),"-")</f>
        <v>-</v>
      </c>
      <c r="K75" s="152" t="str">
        <f>IFERROR(VLOOKUP($A75,table10[],3,FALSE),"-")</f>
        <v>-</v>
      </c>
      <c r="L75" s="119">
        <f>MAX(Table16[[#This Row],[Otay]:[Otay 4]])</f>
        <v>0</v>
      </c>
    </row>
    <row r="76" spans="1:12" ht="15" x14ac:dyDescent="0.2">
      <c r="A76" s="30" t="s">
        <v>87</v>
      </c>
      <c r="B76" s="119" t="str">
        <f>IFERROR(VLOOKUP($A76,table1[],3,FALSE),"-")</f>
        <v>-</v>
      </c>
      <c r="C76" s="119" t="str">
        <f>IFERROR(VLOOKUP($A76,table2[],3,FALSE),"-")</f>
        <v>-</v>
      </c>
      <c r="D76" s="119" t="str">
        <f>IFERROR(VLOOKUP($A76,table3[],3,FALSE),"-")</f>
        <v>-</v>
      </c>
      <c r="E76" s="119">
        <f>IFERROR(VLOOKUP($A76,table4[],3,FALSE),"-")</f>
        <v>0</v>
      </c>
      <c r="F76" s="119" t="str">
        <f>IFERROR(VLOOKUP($A76,table5[],3,FALSE),"-")</f>
        <v>-</v>
      </c>
      <c r="G76" s="119" t="str">
        <f>IFERROR(VLOOKUP($A76,table6[],3,FALSE),"-")</f>
        <v>-</v>
      </c>
      <c r="H76" s="119" t="str">
        <f>IFERROR(VLOOKUP($A76,table7[],12,FALSE),"-")</f>
        <v>-</v>
      </c>
      <c r="I76" s="119" t="str">
        <f>IFERROR(VLOOKUP($A76,table8[],3,FALSE),"-")</f>
        <v>-</v>
      </c>
      <c r="J76" s="119" t="str">
        <f>IFERROR(VLOOKUP($A76,table9[],3,FALSE),"-")</f>
        <v>-</v>
      </c>
      <c r="K76" s="119" t="str">
        <f>IFERROR(VLOOKUP($A76,table10[],3,FALSE),"-")</f>
        <v>-</v>
      </c>
      <c r="L76" s="119">
        <f>MAX(Table16[[#This Row],[Otay]:[Otay 4]])</f>
        <v>0</v>
      </c>
    </row>
    <row r="77" spans="1:12" ht="15" x14ac:dyDescent="0.2">
      <c r="A77" s="30" t="s">
        <v>78</v>
      </c>
      <c r="B77" s="119" t="str">
        <f>IFERROR(VLOOKUP($A77,table1[],3,FALSE),"-")</f>
        <v>-</v>
      </c>
      <c r="C77" s="119" t="str">
        <f>IFERROR(VLOOKUP($A77,table2[],3,FALSE),"-")</f>
        <v>-</v>
      </c>
      <c r="D77" s="119" t="str">
        <f>IFERROR(VLOOKUP($A77,table3[],3,FALSE),"-")</f>
        <v>-</v>
      </c>
      <c r="E77" s="119">
        <f>IFERROR(VLOOKUP($A77,table4[],3,FALSE),"-")</f>
        <v>0</v>
      </c>
      <c r="F77" s="119" t="str">
        <f>IFERROR(VLOOKUP($A77,table5[],3,FALSE),"-")</f>
        <v>-</v>
      </c>
      <c r="G77" s="119" t="str">
        <f>IFERROR(VLOOKUP($A77,table6[],3,FALSE),"-")</f>
        <v>-</v>
      </c>
      <c r="H77" s="119" t="str">
        <f>IFERROR(VLOOKUP($A77,table7[],12,FALSE),"-")</f>
        <v>-</v>
      </c>
      <c r="I77" s="119" t="str">
        <f>IFERROR(VLOOKUP($A77,table8[],3,FALSE),"-")</f>
        <v>-</v>
      </c>
      <c r="J77" s="119" t="str">
        <f>IFERROR(VLOOKUP($A77,table9[],3,FALSE),"-")</f>
        <v>-</v>
      </c>
      <c r="K77" s="119" t="str">
        <f>IFERROR(VLOOKUP($A77,table10[],3,FALSE),"-")</f>
        <v>-</v>
      </c>
      <c r="L77" s="119">
        <f>MAX(Table16[[#This Row],[Otay]:[Otay 4]])</f>
        <v>0</v>
      </c>
    </row>
  </sheetData>
  <conditionalFormatting sqref="A2:A77">
    <cfRule type="duplicateValues" dxfId="3" priority="14"/>
    <cfRule type="duplicateValues" dxfId="2" priority="15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73"/>
  <sheetViews>
    <sheetView topLeftCell="A22" workbookViewId="0">
      <selection activeCell="A4" sqref="A4"/>
    </sheetView>
  </sheetViews>
  <sheetFormatPr defaultRowHeight="12.75" x14ac:dyDescent="0.2"/>
  <cols>
    <col min="1" max="1" width="16.28515625" bestFit="1" customWidth="1"/>
  </cols>
  <sheetData>
    <row r="1" spans="1:1" x14ac:dyDescent="0.2">
      <c r="A1" s="10" t="s">
        <v>229</v>
      </c>
    </row>
    <row r="2" spans="1:1" x14ac:dyDescent="0.2">
      <c r="A2" t="s">
        <v>234</v>
      </c>
    </row>
    <row r="3" spans="1:1" x14ac:dyDescent="0.2">
      <c r="A3" t="s">
        <v>75</v>
      </c>
    </row>
    <row r="4" spans="1:1" x14ac:dyDescent="0.2">
      <c r="A4" t="s">
        <v>145</v>
      </c>
    </row>
    <row r="5" spans="1:1" x14ac:dyDescent="0.2">
      <c r="A5" t="s">
        <v>189</v>
      </c>
    </row>
    <row r="6" spans="1:1" x14ac:dyDescent="0.2">
      <c r="A6" t="s">
        <v>236</v>
      </c>
    </row>
    <row r="7" spans="1:1" x14ac:dyDescent="0.2">
      <c r="A7" t="s">
        <v>30</v>
      </c>
    </row>
    <row r="8" spans="1:1" x14ac:dyDescent="0.2">
      <c r="A8" s="25" t="s">
        <v>269</v>
      </c>
    </row>
    <row r="9" spans="1:1" x14ac:dyDescent="0.2">
      <c r="A9" t="s">
        <v>49</v>
      </c>
    </row>
    <row r="10" spans="1:1" x14ac:dyDescent="0.2">
      <c r="A10" t="s">
        <v>164</v>
      </c>
    </row>
    <row r="11" spans="1:1" x14ac:dyDescent="0.2">
      <c r="A11" t="s">
        <v>175</v>
      </c>
    </row>
    <row r="12" spans="1:1" x14ac:dyDescent="0.2">
      <c r="A12" s="25" t="s">
        <v>176</v>
      </c>
    </row>
    <row r="13" spans="1:1" x14ac:dyDescent="0.2">
      <c r="A13" s="10" t="s">
        <v>172</v>
      </c>
    </row>
    <row r="14" spans="1:1" x14ac:dyDescent="0.2">
      <c r="A14" s="10" t="s">
        <v>102</v>
      </c>
    </row>
    <row r="15" spans="1:1" x14ac:dyDescent="0.2">
      <c r="A15" s="25" t="s">
        <v>231</v>
      </c>
    </row>
    <row r="16" spans="1:1" x14ac:dyDescent="0.2">
      <c r="A16" s="25" t="s">
        <v>266</v>
      </c>
    </row>
    <row r="17" spans="1:1" x14ac:dyDescent="0.2">
      <c r="A17" s="25" t="s">
        <v>31</v>
      </c>
    </row>
    <row r="18" spans="1:1" x14ac:dyDescent="0.2">
      <c r="A18" s="25" t="s">
        <v>53</v>
      </c>
    </row>
    <row r="19" spans="1:1" x14ac:dyDescent="0.2">
      <c r="A19" s="25" t="s">
        <v>129</v>
      </c>
    </row>
    <row r="20" spans="1:1" x14ac:dyDescent="0.2">
      <c r="A20" t="s">
        <v>146</v>
      </c>
    </row>
    <row r="21" spans="1:1" x14ac:dyDescent="0.2">
      <c r="A21" t="s">
        <v>84</v>
      </c>
    </row>
    <row r="22" spans="1:1" x14ac:dyDescent="0.2">
      <c r="A22" t="s">
        <v>109</v>
      </c>
    </row>
    <row r="23" spans="1:1" x14ac:dyDescent="0.2">
      <c r="A23" t="s">
        <v>33</v>
      </c>
    </row>
    <row r="24" spans="1:1" x14ac:dyDescent="0.2">
      <c r="A24" t="s">
        <v>255</v>
      </c>
    </row>
    <row r="25" spans="1:1" x14ac:dyDescent="0.2">
      <c r="A25" t="s">
        <v>35</v>
      </c>
    </row>
    <row r="26" spans="1:1" x14ac:dyDescent="0.2">
      <c r="A26" t="s">
        <v>270</v>
      </c>
    </row>
    <row r="27" spans="1:1" x14ac:dyDescent="0.2">
      <c r="A27" t="s">
        <v>51</v>
      </c>
    </row>
    <row r="28" spans="1:1" x14ac:dyDescent="0.2">
      <c r="A28" s="25" t="s">
        <v>80</v>
      </c>
    </row>
    <row r="29" spans="1:1" x14ac:dyDescent="0.2">
      <c r="A29" s="10" t="s">
        <v>170</v>
      </c>
    </row>
    <row r="30" spans="1:1" x14ac:dyDescent="0.2">
      <c r="A30" s="25" t="s">
        <v>191</v>
      </c>
    </row>
    <row r="31" spans="1:1" x14ac:dyDescent="0.2">
      <c r="A31" s="10" t="s">
        <v>252</v>
      </c>
    </row>
    <row r="32" spans="1:1" x14ac:dyDescent="0.2">
      <c r="A32" s="10" t="s">
        <v>39</v>
      </c>
    </row>
    <row r="33" spans="1:1" x14ac:dyDescent="0.2">
      <c r="A33" t="s">
        <v>141</v>
      </c>
    </row>
    <row r="34" spans="1:1" x14ac:dyDescent="0.2">
      <c r="A34" s="25" t="s">
        <v>148</v>
      </c>
    </row>
    <row r="35" spans="1:1" x14ac:dyDescent="0.2">
      <c r="A35" s="25" t="s">
        <v>104</v>
      </c>
    </row>
    <row r="36" spans="1:1" x14ac:dyDescent="0.2">
      <c r="A36" s="25" t="s">
        <v>177</v>
      </c>
    </row>
    <row r="37" spans="1:1" x14ac:dyDescent="0.2">
      <c r="A37" s="25" t="s">
        <v>48</v>
      </c>
    </row>
    <row r="38" spans="1:1" x14ac:dyDescent="0.2">
      <c r="A38" s="25" t="s">
        <v>62</v>
      </c>
    </row>
    <row r="39" spans="1:1" x14ac:dyDescent="0.2">
      <c r="A39" s="25" t="s">
        <v>119</v>
      </c>
    </row>
    <row r="40" spans="1:1" x14ac:dyDescent="0.2">
      <c r="A40" s="25" t="s">
        <v>54</v>
      </c>
    </row>
    <row r="41" spans="1:1" x14ac:dyDescent="0.2">
      <c r="A41" s="25" t="s">
        <v>233</v>
      </c>
    </row>
    <row r="42" spans="1:1" x14ac:dyDescent="0.2">
      <c r="A42" t="s">
        <v>241</v>
      </c>
    </row>
    <row r="43" spans="1:1" x14ac:dyDescent="0.2">
      <c r="A43" s="25" t="s">
        <v>105</v>
      </c>
    </row>
    <row r="44" spans="1:1" x14ac:dyDescent="0.2">
      <c r="A44" s="25" t="s">
        <v>52</v>
      </c>
    </row>
    <row r="45" spans="1:1" x14ac:dyDescent="0.2">
      <c r="A45" t="s">
        <v>103</v>
      </c>
    </row>
    <row r="46" spans="1:1" x14ac:dyDescent="0.2">
      <c r="A46" s="25" t="s">
        <v>36</v>
      </c>
    </row>
    <row r="47" spans="1:1" x14ac:dyDescent="0.2">
      <c r="A47" s="25" t="s">
        <v>268</v>
      </c>
    </row>
    <row r="48" spans="1:1" x14ac:dyDescent="0.2">
      <c r="A48" t="s">
        <v>70</v>
      </c>
    </row>
    <row r="49" spans="1:1" x14ac:dyDescent="0.2">
      <c r="A49" s="25" t="s">
        <v>55</v>
      </c>
    </row>
    <row r="50" spans="1:1" x14ac:dyDescent="0.2">
      <c r="A50" t="s">
        <v>122</v>
      </c>
    </row>
    <row r="51" spans="1:1" x14ac:dyDescent="0.2">
      <c r="A51" s="25" t="s">
        <v>32</v>
      </c>
    </row>
    <row r="52" spans="1:1" x14ac:dyDescent="0.2">
      <c r="A52" s="25" t="s">
        <v>107</v>
      </c>
    </row>
    <row r="53" spans="1:1" x14ac:dyDescent="0.2">
      <c r="A53" t="s">
        <v>171</v>
      </c>
    </row>
    <row r="54" spans="1:1" x14ac:dyDescent="0.2">
      <c r="A54" t="s">
        <v>240</v>
      </c>
    </row>
    <row r="55" spans="1:1" x14ac:dyDescent="0.2">
      <c r="A55" t="s">
        <v>56</v>
      </c>
    </row>
    <row r="56" spans="1:1" x14ac:dyDescent="0.2">
      <c r="A56" t="s">
        <v>271</v>
      </c>
    </row>
    <row r="57" spans="1:1" x14ac:dyDescent="0.2">
      <c r="A57" t="s">
        <v>277</v>
      </c>
    </row>
    <row r="58" spans="1:1" x14ac:dyDescent="0.2">
      <c r="A58" t="s">
        <v>87</v>
      </c>
    </row>
    <row r="59" spans="1:1" x14ac:dyDescent="0.2">
      <c r="A59" t="s">
        <v>78</v>
      </c>
    </row>
    <row r="60" spans="1:1" x14ac:dyDescent="0.2">
      <c r="A60" s="10" t="s">
        <v>289</v>
      </c>
    </row>
    <row r="62" spans="1:1" x14ac:dyDescent="0.2">
      <c r="A62" s="25"/>
    </row>
    <row r="63" spans="1:1" x14ac:dyDescent="0.2">
      <c r="A63" s="25"/>
    </row>
    <row r="64" spans="1:1" x14ac:dyDescent="0.2">
      <c r="A64" s="25"/>
    </row>
    <row r="65" spans="1:1" x14ac:dyDescent="0.2">
      <c r="A65" s="25"/>
    </row>
    <row r="67" spans="1:1" x14ac:dyDescent="0.2">
      <c r="A67" s="10"/>
    </row>
    <row r="73" spans="1:1" x14ac:dyDescent="0.2">
      <c r="A73" s="130"/>
    </row>
  </sheetData>
  <sortState ref="A2:A74">
    <sortCondition ref="A2:A74"/>
  </sortState>
  <conditionalFormatting sqref="A1:A1048576">
    <cfRule type="duplicateValues" dxfId="1" priority="1"/>
  </conditionalFormatting>
  <conditionalFormatting sqref="A67:A1048576 A1:A53">
    <cfRule type="duplicateValues" dxfId="0" priority="3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60"/>
  <sheetViews>
    <sheetView topLeftCell="B1" zoomScale="70" zoomScaleNormal="70" workbookViewId="0">
      <selection activeCell="C56" sqref="C56:C60"/>
    </sheetView>
  </sheetViews>
  <sheetFormatPr defaultColWidth="9.140625" defaultRowHeight="15.75" x14ac:dyDescent="0.25"/>
  <cols>
    <col min="1" max="1" width="12.85546875" style="5" customWidth="1"/>
    <col min="2" max="2" width="21.42578125" style="1" bestFit="1" customWidth="1"/>
    <col min="3" max="3" width="24.85546875" style="57" bestFit="1" customWidth="1"/>
    <col min="4" max="4" width="15.140625" style="57" bestFit="1" customWidth="1"/>
    <col min="5" max="5" width="16.140625" style="1" bestFit="1" customWidth="1"/>
    <col min="6" max="6" width="21.28515625" style="1" bestFit="1" customWidth="1"/>
    <col min="7" max="7" width="19.5703125" style="1" bestFit="1" customWidth="1"/>
    <col min="8" max="8" width="20.42578125" style="1" bestFit="1" customWidth="1"/>
    <col min="9" max="16384" width="9.140625" style="2"/>
  </cols>
  <sheetData>
    <row r="1" spans="1:8" ht="31.5" x14ac:dyDescent="0.6">
      <c r="A1" s="161" t="s">
        <v>218</v>
      </c>
      <c r="B1" s="161"/>
      <c r="C1" s="161"/>
      <c r="D1" s="161"/>
      <c r="E1" s="161"/>
      <c r="F1" s="161"/>
      <c r="G1" s="161"/>
      <c r="H1" s="161"/>
    </row>
    <row r="2" spans="1:8" ht="20.25" x14ac:dyDescent="0.3">
      <c r="A2" s="162" t="s">
        <v>238</v>
      </c>
      <c r="B2" s="162"/>
      <c r="C2" s="162"/>
      <c r="D2" s="162"/>
      <c r="E2" s="162"/>
      <c r="F2" s="162"/>
      <c r="G2" s="162"/>
      <c r="H2" s="162"/>
    </row>
    <row r="3" spans="1:8" s="86" customFormat="1" x14ac:dyDescent="0.25">
      <c r="A3" s="87" t="s">
        <v>183</v>
      </c>
      <c r="B3" s="95" t="s">
        <v>22</v>
      </c>
      <c r="C3" s="96" t="s">
        <v>213</v>
      </c>
      <c r="D3" s="97" t="s">
        <v>181</v>
      </c>
      <c r="E3" s="97" t="s">
        <v>214</v>
      </c>
      <c r="F3" s="97" t="s">
        <v>179</v>
      </c>
      <c r="G3" s="97" t="s">
        <v>215</v>
      </c>
      <c r="H3" s="98" t="s">
        <v>216</v>
      </c>
    </row>
    <row r="4" spans="1:8" ht="15" x14ac:dyDescent="0.2">
      <c r="A4" s="89">
        <v>1</v>
      </c>
      <c r="B4" s="89"/>
      <c r="C4" s="89"/>
      <c r="D4" s="90"/>
      <c r="E4" s="90"/>
      <c r="F4" s="90"/>
      <c r="G4" s="90">
        <f t="shared" ref="G4:G53" si="0">E4-F4</f>
        <v>0</v>
      </c>
      <c r="H4" s="28">
        <f t="shared" ref="H4:H53" si="1">IF(A4&lt;31,33-A4,2)</f>
        <v>32</v>
      </c>
    </row>
    <row r="5" spans="1:8" ht="15" x14ac:dyDescent="0.2">
      <c r="A5" s="92">
        <v>2</v>
      </c>
      <c r="B5" s="92"/>
      <c r="C5" s="92"/>
      <c r="D5" s="93"/>
      <c r="E5" s="93"/>
      <c r="F5" s="93"/>
      <c r="G5" s="93">
        <f t="shared" si="0"/>
        <v>0</v>
      </c>
      <c r="H5" s="92">
        <f t="shared" si="1"/>
        <v>31</v>
      </c>
    </row>
    <row r="6" spans="1:8" ht="15" x14ac:dyDescent="0.2">
      <c r="A6" s="89">
        <v>3</v>
      </c>
      <c r="B6" s="89"/>
      <c r="C6" s="89"/>
      <c r="D6" s="90"/>
      <c r="E6" s="90"/>
      <c r="F6" s="90"/>
      <c r="G6" s="90">
        <f t="shared" si="0"/>
        <v>0</v>
      </c>
      <c r="H6" s="89">
        <f t="shared" si="1"/>
        <v>30</v>
      </c>
    </row>
    <row r="7" spans="1:8" ht="15" x14ac:dyDescent="0.2">
      <c r="A7" s="92">
        <v>4</v>
      </c>
      <c r="B7" s="92"/>
      <c r="C7" s="92"/>
      <c r="D7" s="93"/>
      <c r="E7" s="93"/>
      <c r="F7" s="93"/>
      <c r="G7" s="93">
        <f t="shared" si="0"/>
        <v>0</v>
      </c>
      <c r="H7" s="92">
        <f t="shared" si="1"/>
        <v>29</v>
      </c>
    </row>
    <row r="8" spans="1:8" ht="15" x14ac:dyDescent="0.2">
      <c r="A8" s="89">
        <v>5</v>
      </c>
      <c r="B8" s="89"/>
      <c r="C8" s="89"/>
      <c r="D8" s="90"/>
      <c r="E8" s="90"/>
      <c r="F8" s="90"/>
      <c r="G8" s="90">
        <f t="shared" si="0"/>
        <v>0</v>
      </c>
      <c r="H8" s="89">
        <f t="shared" si="1"/>
        <v>28</v>
      </c>
    </row>
    <row r="9" spans="1:8" ht="15" x14ac:dyDescent="0.2">
      <c r="A9" s="92">
        <v>6</v>
      </c>
      <c r="B9" s="92"/>
      <c r="C9" s="92"/>
      <c r="D9" s="93"/>
      <c r="E9" s="93"/>
      <c r="F9" s="93"/>
      <c r="G9" s="93">
        <f t="shared" si="0"/>
        <v>0</v>
      </c>
      <c r="H9" s="92">
        <f t="shared" si="1"/>
        <v>27</v>
      </c>
    </row>
    <row r="10" spans="1:8" ht="15" x14ac:dyDescent="0.2">
      <c r="A10" s="89">
        <v>7</v>
      </c>
      <c r="B10" s="89"/>
      <c r="C10" s="89"/>
      <c r="D10" s="90"/>
      <c r="E10" s="90"/>
      <c r="F10" s="90"/>
      <c r="G10" s="90">
        <f t="shared" si="0"/>
        <v>0</v>
      </c>
      <c r="H10" s="89">
        <f t="shared" si="1"/>
        <v>26</v>
      </c>
    </row>
    <row r="11" spans="1:8" ht="15" x14ac:dyDescent="0.2">
      <c r="A11" s="92">
        <v>8</v>
      </c>
      <c r="B11" s="92"/>
      <c r="C11" s="92"/>
      <c r="D11" s="93"/>
      <c r="E11" s="93"/>
      <c r="F11" s="93"/>
      <c r="G11" s="93">
        <f t="shared" si="0"/>
        <v>0</v>
      </c>
      <c r="H11" s="92">
        <f t="shared" si="1"/>
        <v>25</v>
      </c>
    </row>
    <row r="12" spans="1:8" ht="15" x14ac:dyDescent="0.2">
      <c r="A12" s="89">
        <v>9</v>
      </c>
      <c r="B12" s="89"/>
      <c r="C12" s="89"/>
      <c r="D12" s="90"/>
      <c r="E12" s="90"/>
      <c r="F12" s="90"/>
      <c r="G12" s="90">
        <f t="shared" si="0"/>
        <v>0</v>
      </c>
      <c r="H12" s="89">
        <f t="shared" si="1"/>
        <v>24</v>
      </c>
    </row>
    <row r="13" spans="1:8" ht="15" x14ac:dyDescent="0.2">
      <c r="A13" s="92">
        <v>10</v>
      </c>
      <c r="B13" s="92"/>
      <c r="C13" s="92"/>
      <c r="D13" s="93"/>
      <c r="E13" s="93"/>
      <c r="F13" s="93"/>
      <c r="G13" s="93">
        <f t="shared" si="0"/>
        <v>0</v>
      </c>
      <c r="H13" s="92">
        <f t="shared" si="1"/>
        <v>23</v>
      </c>
    </row>
    <row r="14" spans="1:8" ht="15" x14ac:dyDescent="0.2">
      <c r="A14" s="89">
        <v>11</v>
      </c>
      <c r="B14" s="89"/>
      <c r="C14" s="89"/>
      <c r="D14" s="90"/>
      <c r="E14" s="90"/>
      <c r="F14" s="90"/>
      <c r="G14" s="90">
        <f t="shared" si="0"/>
        <v>0</v>
      </c>
      <c r="H14" s="89">
        <f t="shared" si="1"/>
        <v>22</v>
      </c>
    </row>
    <row r="15" spans="1:8" ht="15" x14ac:dyDescent="0.2">
      <c r="A15" s="92">
        <v>12</v>
      </c>
      <c r="B15" s="92"/>
      <c r="C15" s="92"/>
      <c r="D15" s="93"/>
      <c r="E15" s="93"/>
      <c r="F15" s="93"/>
      <c r="G15" s="93">
        <f t="shared" si="0"/>
        <v>0</v>
      </c>
      <c r="H15" s="92">
        <f t="shared" si="1"/>
        <v>21</v>
      </c>
    </row>
    <row r="16" spans="1:8" ht="15" x14ac:dyDescent="0.2">
      <c r="A16" s="89">
        <v>13</v>
      </c>
      <c r="B16" s="89"/>
      <c r="C16" s="89"/>
      <c r="D16" s="90"/>
      <c r="E16" s="90"/>
      <c r="F16" s="90"/>
      <c r="G16" s="90">
        <f t="shared" si="0"/>
        <v>0</v>
      </c>
      <c r="H16" s="89">
        <f t="shared" si="1"/>
        <v>20</v>
      </c>
    </row>
    <row r="17" spans="1:8" ht="15" x14ac:dyDescent="0.2">
      <c r="A17" s="92">
        <v>14</v>
      </c>
      <c r="B17" s="92"/>
      <c r="C17" s="92"/>
      <c r="D17" s="93"/>
      <c r="E17" s="93"/>
      <c r="F17" s="93"/>
      <c r="G17" s="93">
        <f t="shared" si="0"/>
        <v>0</v>
      </c>
      <c r="H17" s="92">
        <f t="shared" si="1"/>
        <v>19</v>
      </c>
    </row>
    <row r="18" spans="1:8" ht="15" x14ac:dyDescent="0.2">
      <c r="A18" s="94">
        <v>15</v>
      </c>
      <c r="B18" s="94"/>
      <c r="C18" s="89"/>
      <c r="D18" s="90"/>
      <c r="E18" s="90"/>
      <c r="F18" s="90"/>
      <c r="G18" s="90">
        <f t="shared" si="0"/>
        <v>0</v>
      </c>
      <c r="H18" s="89">
        <f t="shared" si="1"/>
        <v>18</v>
      </c>
    </row>
    <row r="19" spans="1:8" ht="15" x14ac:dyDescent="0.2">
      <c r="A19" s="92">
        <v>16</v>
      </c>
      <c r="B19" s="92"/>
      <c r="C19" s="92"/>
      <c r="D19" s="93"/>
      <c r="E19" s="93"/>
      <c r="F19" s="93"/>
      <c r="G19" s="93">
        <f t="shared" si="0"/>
        <v>0</v>
      </c>
      <c r="H19" s="92">
        <f t="shared" si="1"/>
        <v>17</v>
      </c>
    </row>
    <row r="20" spans="1:8" ht="15" x14ac:dyDescent="0.2">
      <c r="A20" s="89">
        <v>17</v>
      </c>
      <c r="B20" s="89"/>
      <c r="C20" s="89"/>
      <c r="D20" s="90"/>
      <c r="E20" s="90"/>
      <c r="F20" s="90"/>
      <c r="G20" s="90">
        <f t="shared" si="0"/>
        <v>0</v>
      </c>
      <c r="H20" s="89">
        <f t="shared" si="1"/>
        <v>16</v>
      </c>
    </row>
    <row r="21" spans="1:8" ht="15" x14ac:dyDescent="0.2">
      <c r="A21" s="92">
        <v>18</v>
      </c>
      <c r="B21" s="92"/>
      <c r="C21" s="92"/>
      <c r="D21" s="93"/>
      <c r="E21" s="93"/>
      <c r="F21" s="93"/>
      <c r="G21" s="93">
        <f t="shared" si="0"/>
        <v>0</v>
      </c>
      <c r="H21" s="92">
        <f t="shared" si="1"/>
        <v>15</v>
      </c>
    </row>
    <row r="22" spans="1:8" ht="15" x14ac:dyDescent="0.2">
      <c r="A22" s="89">
        <v>19</v>
      </c>
      <c r="B22" s="89"/>
      <c r="C22" s="89"/>
      <c r="D22" s="90"/>
      <c r="E22" s="90"/>
      <c r="F22" s="90"/>
      <c r="G22" s="90">
        <f t="shared" si="0"/>
        <v>0</v>
      </c>
      <c r="H22" s="89">
        <f t="shared" si="1"/>
        <v>14</v>
      </c>
    </row>
    <row r="23" spans="1:8" ht="15" x14ac:dyDescent="0.2">
      <c r="A23" s="92">
        <v>20</v>
      </c>
      <c r="B23" s="92"/>
      <c r="C23" s="92"/>
      <c r="D23" s="93"/>
      <c r="E23" s="93"/>
      <c r="F23" s="93"/>
      <c r="G23" s="93">
        <f t="shared" si="0"/>
        <v>0</v>
      </c>
      <c r="H23" s="92">
        <f t="shared" si="1"/>
        <v>13</v>
      </c>
    </row>
    <row r="24" spans="1:8" ht="15" x14ac:dyDescent="0.2">
      <c r="A24" s="89">
        <v>21</v>
      </c>
      <c r="B24" s="89"/>
      <c r="C24" s="89"/>
      <c r="D24" s="90"/>
      <c r="E24" s="90"/>
      <c r="F24" s="90"/>
      <c r="G24" s="90">
        <f t="shared" si="0"/>
        <v>0</v>
      </c>
      <c r="H24" s="89">
        <f t="shared" si="1"/>
        <v>12</v>
      </c>
    </row>
    <row r="25" spans="1:8" ht="15" x14ac:dyDescent="0.2">
      <c r="A25" s="92">
        <v>22</v>
      </c>
      <c r="B25" s="92"/>
      <c r="C25" s="92"/>
      <c r="D25" s="93"/>
      <c r="E25" s="93"/>
      <c r="F25" s="93"/>
      <c r="G25" s="93">
        <f t="shared" si="0"/>
        <v>0</v>
      </c>
      <c r="H25" s="92">
        <f t="shared" si="1"/>
        <v>11</v>
      </c>
    </row>
    <row r="26" spans="1:8" ht="15" x14ac:dyDescent="0.2">
      <c r="A26" s="89">
        <v>23</v>
      </c>
      <c r="B26" s="89"/>
      <c r="C26" s="89"/>
      <c r="D26" s="90"/>
      <c r="E26" s="90"/>
      <c r="F26" s="90"/>
      <c r="G26" s="90">
        <f t="shared" si="0"/>
        <v>0</v>
      </c>
      <c r="H26" s="89">
        <f t="shared" si="1"/>
        <v>10</v>
      </c>
    </row>
    <row r="27" spans="1:8" ht="15" x14ac:dyDescent="0.2">
      <c r="A27" s="92">
        <v>24</v>
      </c>
      <c r="B27" s="92"/>
      <c r="C27" s="92"/>
      <c r="D27" s="93"/>
      <c r="E27" s="93"/>
      <c r="F27" s="93"/>
      <c r="G27" s="93">
        <f t="shared" si="0"/>
        <v>0</v>
      </c>
      <c r="H27" s="92">
        <f t="shared" si="1"/>
        <v>9</v>
      </c>
    </row>
    <row r="28" spans="1:8" ht="15" x14ac:dyDescent="0.2">
      <c r="A28" s="89">
        <v>25</v>
      </c>
      <c r="B28" s="89"/>
      <c r="C28" s="89"/>
      <c r="D28" s="90"/>
      <c r="E28" s="90"/>
      <c r="F28" s="90"/>
      <c r="G28" s="90">
        <f t="shared" si="0"/>
        <v>0</v>
      </c>
      <c r="H28" s="89">
        <f t="shared" si="1"/>
        <v>8</v>
      </c>
    </row>
    <row r="29" spans="1:8" ht="15" x14ac:dyDescent="0.2">
      <c r="A29" s="92">
        <v>26</v>
      </c>
      <c r="B29" s="92"/>
      <c r="C29" s="92"/>
      <c r="D29" s="93"/>
      <c r="E29" s="93"/>
      <c r="F29" s="93"/>
      <c r="G29" s="93">
        <f t="shared" si="0"/>
        <v>0</v>
      </c>
      <c r="H29" s="92">
        <f t="shared" si="1"/>
        <v>7</v>
      </c>
    </row>
    <row r="30" spans="1:8" ht="15" x14ac:dyDescent="0.2">
      <c r="A30" s="89">
        <v>27</v>
      </c>
      <c r="B30" s="89"/>
      <c r="C30" s="89"/>
      <c r="D30" s="90"/>
      <c r="E30" s="90"/>
      <c r="F30" s="90"/>
      <c r="G30" s="90">
        <f t="shared" si="0"/>
        <v>0</v>
      </c>
      <c r="H30" s="89">
        <f t="shared" si="1"/>
        <v>6</v>
      </c>
    </row>
    <row r="31" spans="1:8" ht="15" x14ac:dyDescent="0.2">
      <c r="A31" s="92">
        <v>28</v>
      </c>
      <c r="B31" s="92"/>
      <c r="C31" s="92"/>
      <c r="D31" s="93"/>
      <c r="E31" s="93"/>
      <c r="F31" s="93"/>
      <c r="G31" s="93">
        <f t="shared" si="0"/>
        <v>0</v>
      </c>
      <c r="H31" s="92">
        <f t="shared" si="1"/>
        <v>5</v>
      </c>
    </row>
    <row r="32" spans="1:8" ht="15" x14ac:dyDescent="0.2">
      <c r="A32" s="89">
        <v>29</v>
      </c>
      <c r="B32" s="89"/>
      <c r="C32" s="89"/>
      <c r="D32" s="90"/>
      <c r="E32" s="90"/>
      <c r="F32" s="90"/>
      <c r="G32" s="90">
        <f t="shared" si="0"/>
        <v>0</v>
      </c>
      <c r="H32" s="89">
        <f t="shared" si="1"/>
        <v>4</v>
      </c>
    </row>
    <row r="33" spans="1:8" ht="15" x14ac:dyDescent="0.2">
      <c r="A33" s="92">
        <v>30</v>
      </c>
      <c r="B33" s="92"/>
      <c r="C33" s="92"/>
      <c r="D33" s="93"/>
      <c r="E33" s="93"/>
      <c r="F33" s="93"/>
      <c r="G33" s="93">
        <f t="shared" si="0"/>
        <v>0</v>
      </c>
      <c r="H33" s="92">
        <f t="shared" si="1"/>
        <v>3</v>
      </c>
    </row>
    <row r="34" spans="1:8" ht="15" x14ac:dyDescent="0.2">
      <c r="A34" s="89">
        <v>31</v>
      </c>
      <c r="B34" s="107"/>
      <c r="C34" s="107"/>
      <c r="D34" s="110"/>
      <c r="E34" s="110"/>
      <c r="F34" s="110"/>
      <c r="G34" s="110">
        <f t="shared" si="0"/>
        <v>0</v>
      </c>
      <c r="H34" s="107">
        <f t="shared" si="1"/>
        <v>2</v>
      </c>
    </row>
    <row r="35" spans="1:8" ht="15" x14ac:dyDescent="0.2">
      <c r="A35" s="92">
        <v>32</v>
      </c>
      <c r="B35" s="107"/>
      <c r="C35" s="107"/>
      <c r="D35" s="110"/>
      <c r="E35" s="110"/>
      <c r="F35" s="110"/>
      <c r="G35" s="110">
        <f t="shared" si="0"/>
        <v>0</v>
      </c>
      <c r="H35" s="107">
        <f t="shared" si="1"/>
        <v>2</v>
      </c>
    </row>
    <row r="36" spans="1:8" ht="15" x14ac:dyDescent="0.2">
      <c r="A36" s="89">
        <v>33</v>
      </c>
      <c r="B36" s="107"/>
      <c r="C36" s="107"/>
      <c r="D36" s="110"/>
      <c r="E36" s="110"/>
      <c r="F36" s="110"/>
      <c r="G36" s="110">
        <f t="shared" si="0"/>
        <v>0</v>
      </c>
      <c r="H36" s="107">
        <f t="shared" si="1"/>
        <v>2</v>
      </c>
    </row>
    <row r="37" spans="1:8" ht="15" x14ac:dyDescent="0.2">
      <c r="A37" s="92">
        <v>34</v>
      </c>
      <c r="B37" s="107"/>
      <c r="C37" s="107"/>
      <c r="D37" s="110"/>
      <c r="E37" s="110"/>
      <c r="F37" s="110"/>
      <c r="G37" s="110">
        <f t="shared" si="0"/>
        <v>0</v>
      </c>
      <c r="H37" s="107">
        <f t="shared" si="1"/>
        <v>2</v>
      </c>
    </row>
    <row r="38" spans="1:8" ht="15" x14ac:dyDescent="0.2">
      <c r="A38" s="89">
        <v>35</v>
      </c>
      <c r="B38" s="107"/>
      <c r="C38" s="107"/>
      <c r="D38" s="110"/>
      <c r="E38" s="110"/>
      <c r="F38" s="110"/>
      <c r="G38" s="110">
        <f t="shared" si="0"/>
        <v>0</v>
      </c>
      <c r="H38" s="107">
        <f t="shared" si="1"/>
        <v>2</v>
      </c>
    </row>
    <row r="39" spans="1:8" ht="15" x14ac:dyDescent="0.2">
      <c r="A39" s="92">
        <v>36</v>
      </c>
      <c r="B39" s="107"/>
      <c r="C39" s="107"/>
      <c r="D39" s="110"/>
      <c r="E39" s="110"/>
      <c r="F39" s="110"/>
      <c r="G39" s="110">
        <f t="shared" si="0"/>
        <v>0</v>
      </c>
      <c r="H39" s="107">
        <f t="shared" si="1"/>
        <v>2</v>
      </c>
    </row>
    <row r="40" spans="1:8" ht="15" x14ac:dyDescent="0.2">
      <c r="A40" s="89">
        <v>37</v>
      </c>
      <c r="B40" s="107"/>
      <c r="C40" s="107"/>
      <c r="D40" s="110"/>
      <c r="E40" s="110"/>
      <c r="F40" s="110"/>
      <c r="G40" s="110">
        <f t="shared" si="0"/>
        <v>0</v>
      </c>
      <c r="H40" s="107">
        <f t="shared" si="1"/>
        <v>2</v>
      </c>
    </row>
    <row r="41" spans="1:8" ht="15" x14ac:dyDescent="0.2">
      <c r="A41" s="92">
        <v>38</v>
      </c>
      <c r="B41" s="107"/>
      <c r="C41" s="107"/>
      <c r="D41" s="110"/>
      <c r="E41" s="110"/>
      <c r="F41" s="110"/>
      <c r="G41" s="110">
        <f t="shared" si="0"/>
        <v>0</v>
      </c>
      <c r="H41" s="107">
        <f t="shared" si="1"/>
        <v>2</v>
      </c>
    </row>
    <row r="42" spans="1:8" ht="15" x14ac:dyDescent="0.2">
      <c r="A42" s="89">
        <v>39</v>
      </c>
      <c r="B42" s="107"/>
      <c r="C42" s="107"/>
      <c r="D42" s="110"/>
      <c r="E42" s="110"/>
      <c r="F42" s="110"/>
      <c r="G42" s="110">
        <f t="shared" si="0"/>
        <v>0</v>
      </c>
      <c r="H42" s="107">
        <f t="shared" si="1"/>
        <v>2</v>
      </c>
    </row>
    <row r="43" spans="1:8" ht="15" x14ac:dyDescent="0.2">
      <c r="A43" s="92">
        <v>40</v>
      </c>
      <c r="B43" s="107"/>
      <c r="C43" s="107"/>
      <c r="D43" s="110"/>
      <c r="E43" s="110"/>
      <c r="F43" s="110"/>
      <c r="G43" s="110">
        <f t="shared" si="0"/>
        <v>0</v>
      </c>
      <c r="H43" s="107">
        <f t="shared" si="1"/>
        <v>2</v>
      </c>
    </row>
    <row r="44" spans="1:8" ht="15" x14ac:dyDescent="0.2">
      <c r="A44" s="89">
        <v>41</v>
      </c>
      <c r="B44" s="107"/>
      <c r="C44" s="107"/>
      <c r="D44" s="110"/>
      <c r="E44" s="110"/>
      <c r="F44" s="110"/>
      <c r="G44" s="110">
        <f t="shared" si="0"/>
        <v>0</v>
      </c>
      <c r="H44" s="107">
        <f t="shared" si="1"/>
        <v>2</v>
      </c>
    </row>
    <row r="45" spans="1:8" ht="15" x14ac:dyDescent="0.2">
      <c r="A45" s="92">
        <v>42</v>
      </c>
      <c r="B45" s="107"/>
      <c r="C45" s="107"/>
      <c r="D45" s="110"/>
      <c r="E45" s="110"/>
      <c r="F45" s="110"/>
      <c r="G45" s="110">
        <f t="shared" si="0"/>
        <v>0</v>
      </c>
      <c r="H45" s="107">
        <f t="shared" si="1"/>
        <v>2</v>
      </c>
    </row>
    <row r="46" spans="1:8" ht="15" x14ac:dyDescent="0.2">
      <c r="A46" s="89">
        <v>43</v>
      </c>
      <c r="B46" s="107"/>
      <c r="C46" s="107"/>
      <c r="D46" s="110"/>
      <c r="E46" s="110"/>
      <c r="F46" s="110"/>
      <c r="G46" s="110">
        <f t="shared" si="0"/>
        <v>0</v>
      </c>
      <c r="H46" s="107">
        <f t="shared" si="1"/>
        <v>2</v>
      </c>
    </row>
    <row r="47" spans="1:8" ht="15" x14ac:dyDescent="0.2">
      <c r="A47" s="92">
        <v>44</v>
      </c>
      <c r="B47" s="107"/>
      <c r="C47" s="107"/>
      <c r="D47" s="110"/>
      <c r="E47" s="110"/>
      <c r="F47" s="110"/>
      <c r="G47" s="110">
        <f t="shared" si="0"/>
        <v>0</v>
      </c>
      <c r="H47" s="107">
        <f t="shared" si="1"/>
        <v>2</v>
      </c>
    </row>
    <row r="48" spans="1:8" ht="15" x14ac:dyDescent="0.2">
      <c r="A48" s="89">
        <v>45</v>
      </c>
      <c r="B48" s="107"/>
      <c r="C48" s="107"/>
      <c r="D48" s="110"/>
      <c r="E48" s="110"/>
      <c r="F48" s="110"/>
      <c r="G48" s="110">
        <f t="shared" si="0"/>
        <v>0</v>
      </c>
      <c r="H48" s="107">
        <f t="shared" si="1"/>
        <v>2</v>
      </c>
    </row>
    <row r="49" spans="1:8" ht="15" x14ac:dyDescent="0.2">
      <c r="A49" s="92">
        <v>46</v>
      </c>
      <c r="B49" s="107"/>
      <c r="C49" s="107"/>
      <c r="D49" s="110"/>
      <c r="E49" s="110"/>
      <c r="F49" s="110"/>
      <c r="G49" s="110">
        <f t="shared" si="0"/>
        <v>0</v>
      </c>
      <c r="H49" s="107">
        <f t="shared" si="1"/>
        <v>2</v>
      </c>
    </row>
    <row r="50" spans="1:8" ht="15" x14ac:dyDescent="0.2">
      <c r="A50" s="89">
        <v>47</v>
      </c>
      <c r="B50" s="107"/>
      <c r="C50" s="107"/>
      <c r="D50" s="110"/>
      <c r="E50" s="110"/>
      <c r="F50" s="110"/>
      <c r="G50" s="110">
        <f t="shared" si="0"/>
        <v>0</v>
      </c>
      <c r="H50" s="107">
        <f t="shared" si="1"/>
        <v>2</v>
      </c>
    </row>
    <row r="51" spans="1:8" ht="15" x14ac:dyDescent="0.2">
      <c r="A51" s="92">
        <v>48</v>
      </c>
      <c r="B51" s="107"/>
      <c r="C51" s="107"/>
      <c r="D51" s="110"/>
      <c r="E51" s="110"/>
      <c r="F51" s="110"/>
      <c r="G51" s="110">
        <f t="shared" si="0"/>
        <v>0</v>
      </c>
      <c r="H51" s="107">
        <f t="shared" si="1"/>
        <v>2</v>
      </c>
    </row>
    <row r="52" spans="1:8" ht="15" x14ac:dyDescent="0.2">
      <c r="A52" s="89">
        <v>49</v>
      </c>
      <c r="B52" s="107"/>
      <c r="C52" s="107"/>
      <c r="D52" s="110"/>
      <c r="E52" s="110"/>
      <c r="F52" s="110"/>
      <c r="G52" s="110">
        <f t="shared" si="0"/>
        <v>0</v>
      </c>
      <c r="H52" s="107">
        <f t="shared" si="1"/>
        <v>2</v>
      </c>
    </row>
    <row r="53" spans="1:8" ht="15" x14ac:dyDescent="0.2">
      <c r="A53" s="92">
        <v>50</v>
      </c>
      <c r="B53" s="107"/>
      <c r="C53" s="107"/>
      <c r="D53" s="110"/>
      <c r="E53" s="110"/>
      <c r="F53" s="110"/>
      <c r="G53" s="110">
        <f t="shared" si="0"/>
        <v>0</v>
      </c>
      <c r="H53" s="107">
        <f t="shared" si="1"/>
        <v>2</v>
      </c>
    </row>
    <row r="54" spans="1:8" ht="15" x14ac:dyDescent="0.2">
      <c r="A54" s="108"/>
      <c r="B54" s="108"/>
      <c r="C54" s="108"/>
      <c r="D54" s="109"/>
      <c r="E54" s="109"/>
      <c r="F54" s="109"/>
      <c r="G54" s="109"/>
      <c r="H54" s="108"/>
    </row>
    <row r="55" spans="1:8" ht="15" x14ac:dyDescent="0.2">
      <c r="A55" s="28"/>
      <c r="B55" s="28"/>
      <c r="C55" s="28"/>
      <c r="D55" s="28"/>
      <c r="E55" s="29"/>
      <c r="F55" s="29"/>
      <c r="G55" s="29"/>
      <c r="H55" s="28"/>
    </row>
    <row r="56" spans="1:8" ht="15" x14ac:dyDescent="0.2">
      <c r="A56" s="160" t="s">
        <v>88</v>
      </c>
      <c r="B56" s="160"/>
      <c r="C56" s="40">
        <f>COUNT(Table2791112[Number of Fish])</f>
        <v>0</v>
      </c>
      <c r="D56" s="40"/>
      <c r="E56" s="40"/>
      <c r="F56" s="41"/>
      <c r="G56" s="41"/>
      <c r="H56" s="49"/>
    </row>
    <row r="57" spans="1:8" ht="15" x14ac:dyDescent="0.2">
      <c r="A57" s="160" t="s">
        <v>89</v>
      </c>
      <c r="B57" s="160"/>
      <c r="C57" s="40">
        <f>SUM(Table2791112[Number of Fish])</f>
        <v>0</v>
      </c>
      <c r="D57" s="40"/>
      <c r="E57" s="40"/>
      <c r="F57" s="41"/>
      <c r="G57" s="41"/>
      <c r="H57" s="49"/>
    </row>
    <row r="58" spans="1:8" ht="15" x14ac:dyDescent="0.2">
      <c r="A58" s="160" t="s">
        <v>90</v>
      </c>
      <c r="B58" s="160"/>
      <c r="C58" s="41">
        <f>SUM(Table2791112[Total Weight])</f>
        <v>0</v>
      </c>
      <c r="D58" s="40"/>
      <c r="E58" s="41"/>
      <c r="F58" s="41"/>
      <c r="G58" s="41"/>
      <c r="H58" s="48"/>
    </row>
    <row r="59" spans="1:8" ht="15" x14ac:dyDescent="0.2">
      <c r="A59" s="160" t="s">
        <v>91</v>
      </c>
      <c r="B59" s="160"/>
      <c r="C59" s="41" t="e">
        <f>C58/C57</f>
        <v>#DIV/0!</v>
      </c>
      <c r="D59" s="40"/>
      <c r="E59" s="50"/>
      <c r="F59" s="41"/>
      <c r="G59" s="41"/>
      <c r="H59" s="48"/>
    </row>
    <row r="60" spans="1:8" ht="15" x14ac:dyDescent="0.2">
      <c r="A60" s="160" t="s">
        <v>92</v>
      </c>
      <c r="B60" s="160"/>
      <c r="C60" s="40" t="e">
        <f>C57/C56</f>
        <v>#DIV/0!</v>
      </c>
      <c r="D60" s="40"/>
      <c r="E60" s="41"/>
      <c r="F60" s="41"/>
      <c r="G60" s="41"/>
      <c r="H60" s="48"/>
    </row>
  </sheetData>
  <mergeCells count="7">
    <mergeCell ref="A60:B60"/>
    <mergeCell ref="A1:H1"/>
    <mergeCell ref="A2:H2"/>
    <mergeCell ref="A56:B56"/>
    <mergeCell ref="A57:B57"/>
    <mergeCell ref="A58:B58"/>
    <mergeCell ref="A59:B59"/>
  </mergeCells>
  <printOptions horizontalCentered="1" verticalCentered="1"/>
  <pageMargins left="0.25" right="0.25" top="0.25" bottom="0.25" header="0" footer="0"/>
  <pageSetup scale="83" orientation="portrait" r:id="rId1"/>
  <headerFooter alignWithMargins="0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Q62"/>
  <sheetViews>
    <sheetView zoomScale="55" zoomScaleNormal="55" workbookViewId="0">
      <pane ySplit="1" topLeftCell="A2" activePane="bottomLeft" state="frozen"/>
      <selection pane="bottomLeft" activeCell="P5" sqref="P5:P55"/>
    </sheetView>
  </sheetViews>
  <sheetFormatPr defaultColWidth="9.140625" defaultRowHeight="12.75" x14ac:dyDescent="0.2"/>
  <cols>
    <col min="1" max="1" width="3.85546875" style="2" bestFit="1" customWidth="1"/>
    <col min="2" max="2" width="38.5703125" style="80" customWidth="1"/>
    <col min="3" max="3" width="24.42578125" style="2" bestFit="1" customWidth="1"/>
    <col min="4" max="4" width="16.85546875" style="2" bestFit="1" customWidth="1"/>
    <col min="5" max="5" width="21.5703125" style="2" bestFit="1" customWidth="1"/>
    <col min="6" max="6" width="16" style="2" bestFit="1" customWidth="1"/>
    <col min="7" max="7" width="19.5703125" style="2" bestFit="1" customWidth="1"/>
    <col min="8" max="8" width="25.85546875" style="2" bestFit="1" customWidth="1"/>
    <col min="9" max="9" width="18.140625" style="2" bestFit="1" customWidth="1"/>
    <col min="10" max="10" width="22.85546875" style="2" bestFit="1" customWidth="1"/>
    <col min="11" max="11" width="17.28515625" style="2" bestFit="1" customWidth="1"/>
    <col min="12" max="12" width="21" style="2" bestFit="1" customWidth="1"/>
    <col min="13" max="13" width="24" style="2" bestFit="1" customWidth="1"/>
    <col min="14" max="14" width="22" style="2" bestFit="1" customWidth="1"/>
    <col min="15" max="15" width="16.85546875" style="2" bestFit="1" customWidth="1"/>
    <col min="16" max="16" width="16.7109375" style="2" bestFit="1" customWidth="1"/>
    <col min="17" max="16384" width="9.140625" style="2"/>
  </cols>
  <sheetData>
    <row r="1" spans="1:16" ht="33" x14ac:dyDescent="0.45">
      <c r="A1" s="176" t="s">
        <v>135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</row>
    <row r="2" spans="1:16" ht="20.25" x14ac:dyDescent="0.3">
      <c r="A2" s="178" t="s">
        <v>239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7"/>
    </row>
    <row r="3" spans="1:16" ht="18" x14ac:dyDescent="0.2">
      <c r="A3" s="61"/>
      <c r="B3" s="79"/>
      <c r="C3" s="60"/>
      <c r="D3" s="83"/>
      <c r="E3" s="83" t="s">
        <v>226</v>
      </c>
      <c r="F3" s="83"/>
      <c r="G3" s="60"/>
      <c r="H3" s="62"/>
      <c r="I3" s="83"/>
      <c r="J3" s="83" t="s">
        <v>227</v>
      </c>
      <c r="K3" s="83"/>
      <c r="L3" s="83"/>
      <c r="M3" s="180" t="s">
        <v>1</v>
      </c>
      <c r="N3" s="181"/>
      <c r="O3" s="181"/>
      <c r="P3" s="60"/>
    </row>
    <row r="4" spans="1:16" s="3" customFormat="1" x14ac:dyDescent="0.2">
      <c r="A4" s="61"/>
      <c r="B4" s="79" t="s">
        <v>22</v>
      </c>
      <c r="C4" s="60" t="s">
        <v>213</v>
      </c>
      <c r="D4" s="60" t="s">
        <v>181</v>
      </c>
      <c r="E4" s="60" t="s">
        <v>214</v>
      </c>
      <c r="F4" s="60" t="s">
        <v>179</v>
      </c>
      <c r="G4" s="60" t="s">
        <v>215</v>
      </c>
      <c r="H4" s="63" t="s">
        <v>222</v>
      </c>
      <c r="I4" s="60" t="s">
        <v>219</v>
      </c>
      <c r="J4" s="60" t="s">
        <v>220</v>
      </c>
      <c r="K4" s="60" t="s">
        <v>225</v>
      </c>
      <c r="L4" s="60" t="s">
        <v>224</v>
      </c>
      <c r="M4" s="63" t="s">
        <v>223</v>
      </c>
      <c r="N4" s="60" t="s">
        <v>221</v>
      </c>
      <c r="O4" s="60" t="s">
        <v>0</v>
      </c>
      <c r="P4" s="60" t="s">
        <v>25</v>
      </c>
    </row>
    <row r="5" spans="1:16" s="3" customFormat="1" ht="15" x14ac:dyDescent="0.2">
      <c r="A5" s="58">
        <v>1</v>
      </c>
      <c r="B5" s="105"/>
      <c r="C5" s="54"/>
      <c r="D5" s="53"/>
      <c r="E5" s="52"/>
      <c r="F5" s="53"/>
      <c r="G5" s="52">
        <f>SUM(E5-F5)</f>
        <v>0</v>
      </c>
      <c r="H5" s="104"/>
      <c r="I5" s="53"/>
      <c r="J5" s="53"/>
      <c r="K5" s="53"/>
      <c r="L5" s="52">
        <f>SUM(J5-K5)</f>
        <v>0</v>
      </c>
      <c r="M5" s="64">
        <f>MAX(D5,I5)</f>
        <v>0</v>
      </c>
      <c r="N5" s="54">
        <f>SUM(C5+H5)</f>
        <v>0</v>
      </c>
      <c r="O5" s="52">
        <f>SUM(G5+L5)</f>
        <v>0</v>
      </c>
      <c r="P5" s="65">
        <f>IF(A5&lt;31,33-A5,2)</f>
        <v>32</v>
      </c>
    </row>
    <row r="6" spans="1:16" s="3" customFormat="1" ht="14.1" customHeight="1" x14ac:dyDescent="0.2">
      <c r="A6" s="58">
        <v>2</v>
      </c>
      <c r="B6" s="105"/>
      <c r="C6" s="54"/>
      <c r="D6" s="53"/>
      <c r="E6" s="52"/>
      <c r="F6" s="53"/>
      <c r="G6" s="52">
        <f t="shared" ref="G6:G34" si="0">SUM(E6-F6)</f>
        <v>0</v>
      </c>
      <c r="H6" s="104"/>
      <c r="I6" s="53"/>
      <c r="J6" s="53"/>
      <c r="K6" s="53"/>
      <c r="L6" s="52">
        <f t="shared" ref="L6:L34" si="1">SUM(J6-K6)</f>
        <v>0</v>
      </c>
      <c r="M6" s="64">
        <f t="shared" ref="M6:M34" si="2">MAX(D6,I6)</f>
        <v>0</v>
      </c>
      <c r="N6" s="54">
        <f t="shared" ref="N6:N34" si="3">SUM(C6+H6)</f>
        <v>0</v>
      </c>
      <c r="O6" s="52">
        <f t="shared" ref="O6:O34" si="4">SUM(G6+L6)</f>
        <v>0</v>
      </c>
      <c r="P6" s="65">
        <f t="shared" ref="P6:P55" si="5">IF(A6&lt;31,33-A6,2)</f>
        <v>31</v>
      </c>
    </row>
    <row r="7" spans="1:16" s="3" customFormat="1" ht="14.1" customHeight="1" x14ac:dyDescent="0.2">
      <c r="A7" s="58">
        <v>3</v>
      </c>
      <c r="B7" s="105"/>
      <c r="C7" s="54"/>
      <c r="D7" s="53"/>
      <c r="E7" s="52"/>
      <c r="F7" s="53"/>
      <c r="G7" s="52">
        <f t="shared" si="0"/>
        <v>0</v>
      </c>
      <c r="H7" s="104"/>
      <c r="I7" s="53"/>
      <c r="J7" s="52"/>
      <c r="K7" s="53"/>
      <c r="L7" s="52">
        <f t="shared" si="1"/>
        <v>0</v>
      </c>
      <c r="M7" s="64">
        <f t="shared" si="2"/>
        <v>0</v>
      </c>
      <c r="N7" s="54">
        <f t="shared" si="3"/>
        <v>0</v>
      </c>
      <c r="O7" s="52">
        <f t="shared" si="4"/>
        <v>0</v>
      </c>
      <c r="P7" s="65">
        <f t="shared" si="5"/>
        <v>30</v>
      </c>
    </row>
    <row r="8" spans="1:16" s="3" customFormat="1" ht="14.1" customHeight="1" x14ac:dyDescent="0.2">
      <c r="A8" s="58">
        <v>4</v>
      </c>
      <c r="B8" s="105"/>
      <c r="C8" s="54"/>
      <c r="D8" s="53"/>
      <c r="E8" s="52"/>
      <c r="F8" s="53"/>
      <c r="G8" s="52">
        <f t="shared" si="0"/>
        <v>0</v>
      </c>
      <c r="H8" s="104"/>
      <c r="I8" s="53"/>
      <c r="J8" s="53"/>
      <c r="K8" s="53"/>
      <c r="L8" s="52">
        <f t="shared" si="1"/>
        <v>0</v>
      </c>
      <c r="M8" s="64">
        <f t="shared" si="2"/>
        <v>0</v>
      </c>
      <c r="N8" s="54">
        <f t="shared" si="3"/>
        <v>0</v>
      </c>
      <c r="O8" s="52">
        <f t="shared" si="4"/>
        <v>0</v>
      </c>
      <c r="P8" s="65">
        <f t="shared" si="5"/>
        <v>29</v>
      </c>
    </row>
    <row r="9" spans="1:16" s="3" customFormat="1" ht="14.1" customHeight="1" x14ac:dyDescent="0.2">
      <c r="A9" s="58">
        <v>5</v>
      </c>
      <c r="B9" s="105"/>
      <c r="C9" s="54"/>
      <c r="D9" s="53"/>
      <c r="E9" s="52"/>
      <c r="F9" s="53"/>
      <c r="G9" s="52">
        <f t="shared" si="0"/>
        <v>0</v>
      </c>
      <c r="H9" s="104"/>
      <c r="I9" s="53"/>
      <c r="J9" s="53"/>
      <c r="K9" s="53"/>
      <c r="L9" s="52">
        <f t="shared" si="1"/>
        <v>0</v>
      </c>
      <c r="M9" s="64">
        <f t="shared" si="2"/>
        <v>0</v>
      </c>
      <c r="N9" s="54">
        <f t="shared" si="3"/>
        <v>0</v>
      </c>
      <c r="O9" s="52">
        <f t="shared" si="4"/>
        <v>0</v>
      </c>
      <c r="P9" s="65">
        <f t="shared" si="5"/>
        <v>28</v>
      </c>
    </row>
    <row r="10" spans="1:16" ht="14.1" customHeight="1" x14ac:dyDescent="0.2">
      <c r="A10" s="58">
        <v>6</v>
      </c>
      <c r="B10" s="105"/>
      <c r="C10" s="54"/>
      <c r="D10" s="53"/>
      <c r="E10" s="52"/>
      <c r="F10" s="53"/>
      <c r="G10" s="52">
        <f t="shared" si="0"/>
        <v>0</v>
      </c>
      <c r="H10" s="104"/>
      <c r="I10" s="53"/>
      <c r="J10" s="53"/>
      <c r="K10" s="53"/>
      <c r="L10" s="52">
        <f t="shared" si="1"/>
        <v>0</v>
      </c>
      <c r="M10" s="64">
        <f t="shared" si="2"/>
        <v>0</v>
      </c>
      <c r="N10" s="54">
        <f t="shared" si="3"/>
        <v>0</v>
      </c>
      <c r="O10" s="52">
        <f t="shared" si="4"/>
        <v>0</v>
      </c>
      <c r="P10" s="65">
        <f t="shared" si="5"/>
        <v>27</v>
      </c>
    </row>
    <row r="11" spans="1:16" ht="14.1" customHeight="1" x14ac:dyDescent="0.2">
      <c r="A11" s="58">
        <v>7</v>
      </c>
      <c r="B11" s="105"/>
      <c r="C11" s="54"/>
      <c r="D11" s="53"/>
      <c r="E11" s="52"/>
      <c r="F11" s="53"/>
      <c r="G11" s="52">
        <f t="shared" si="0"/>
        <v>0</v>
      </c>
      <c r="H11" s="104"/>
      <c r="I11" s="53"/>
      <c r="J11" s="53"/>
      <c r="K11" s="53"/>
      <c r="L11" s="52">
        <f t="shared" si="1"/>
        <v>0</v>
      </c>
      <c r="M11" s="64">
        <f t="shared" si="2"/>
        <v>0</v>
      </c>
      <c r="N11" s="54">
        <f t="shared" si="3"/>
        <v>0</v>
      </c>
      <c r="O11" s="52">
        <f t="shared" si="4"/>
        <v>0</v>
      </c>
      <c r="P11" s="65">
        <f t="shared" si="5"/>
        <v>26</v>
      </c>
    </row>
    <row r="12" spans="1:16" ht="14.1" customHeight="1" x14ac:dyDescent="0.2">
      <c r="A12" s="58">
        <v>8</v>
      </c>
      <c r="B12" s="105"/>
      <c r="C12" s="54"/>
      <c r="D12" s="53"/>
      <c r="E12" s="52"/>
      <c r="F12" s="53"/>
      <c r="G12" s="52">
        <f t="shared" si="0"/>
        <v>0</v>
      </c>
      <c r="H12" s="104"/>
      <c r="I12" s="53"/>
      <c r="J12" s="53"/>
      <c r="K12" s="53"/>
      <c r="L12" s="52">
        <f t="shared" si="1"/>
        <v>0</v>
      </c>
      <c r="M12" s="64">
        <f t="shared" si="2"/>
        <v>0</v>
      </c>
      <c r="N12" s="54">
        <f t="shared" si="3"/>
        <v>0</v>
      </c>
      <c r="O12" s="52">
        <f t="shared" si="4"/>
        <v>0</v>
      </c>
      <c r="P12" s="65">
        <f t="shared" si="5"/>
        <v>25</v>
      </c>
    </row>
    <row r="13" spans="1:16" ht="15" x14ac:dyDescent="0.2">
      <c r="A13" s="58">
        <v>9</v>
      </c>
      <c r="B13" s="105"/>
      <c r="C13" s="54"/>
      <c r="D13" s="53"/>
      <c r="E13" s="52"/>
      <c r="F13" s="53"/>
      <c r="G13" s="52">
        <f t="shared" si="0"/>
        <v>0</v>
      </c>
      <c r="H13" s="104"/>
      <c r="I13" s="53"/>
      <c r="J13" s="53"/>
      <c r="K13" s="53"/>
      <c r="L13" s="52">
        <f t="shared" si="1"/>
        <v>0</v>
      </c>
      <c r="M13" s="64">
        <f t="shared" si="2"/>
        <v>0</v>
      </c>
      <c r="N13" s="54">
        <f t="shared" si="3"/>
        <v>0</v>
      </c>
      <c r="O13" s="52">
        <f t="shared" si="4"/>
        <v>0</v>
      </c>
      <c r="P13" s="65">
        <f t="shared" si="5"/>
        <v>24</v>
      </c>
    </row>
    <row r="14" spans="1:16" ht="15" x14ac:dyDescent="0.2">
      <c r="A14" s="58">
        <v>10</v>
      </c>
      <c r="B14" s="105"/>
      <c r="C14" s="54"/>
      <c r="D14" s="53"/>
      <c r="E14" s="52"/>
      <c r="F14" s="53"/>
      <c r="G14" s="52">
        <f t="shared" si="0"/>
        <v>0</v>
      </c>
      <c r="H14" s="104"/>
      <c r="I14" s="53"/>
      <c r="J14" s="53"/>
      <c r="K14" s="53"/>
      <c r="L14" s="52">
        <f t="shared" si="1"/>
        <v>0</v>
      </c>
      <c r="M14" s="64">
        <f t="shared" si="2"/>
        <v>0</v>
      </c>
      <c r="N14" s="54">
        <f t="shared" si="3"/>
        <v>0</v>
      </c>
      <c r="O14" s="52">
        <f t="shared" si="4"/>
        <v>0</v>
      </c>
      <c r="P14" s="65">
        <f t="shared" si="5"/>
        <v>23</v>
      </c>
    </row>
    <row r="15" spans="1:16" ht="15" x14ac:dyDescent="0.2">
      <c r="A15" s="58">
        <v>11</v>
      </c>
      <c r="B15" s="105"/>
      <c r="C15" s="54"/>
      <c r="D15" s="53"/>
      <c r="E15" s="52"/>
      <c r="F15" s="53"/>
      <c r="G15" s="52">
        <f t="shared" si="0"/>
        <v>0</v>
      </c>
      <c r="H15" s="104"/>
      <c r="I15" s="53"/>
      <c r="J15" s="53"/>
      <c r="K15" s="53"/>
      <c r="L15" s="52">
        <f t="shared" si="1"/>
        <v>0</v>
      </c>
      <c r="M15" s="64">
        <f t="shared" si="2"/>
        <v>0</v>
      </c>
      <c r="N15" s="54">
        <f t="shared" si="3"/>
        <v>0</v>
      </c>
      <c r="O15" s="52">
        <f t="shared" si="4"/>
        <v>0</v>
      </c>
      <c r="P15" s="65">
        <f t="shared" si="5"/>
        <v>22</v>
      </c>
    </row>
    <row r="16" spans="1:16" ht="15" x14ac:dyDescent="0.2">
      <c r="A16" s="58">
        <v>12</v>
      </c>
      <c r="B16" s="105"/>
      <c r="C16" s="54"/>
      <c r="D16" s="53"/>
      <c r="E16" s="52"/>
      <c r="F16" s="53"/>
      <c r="G16" s="52">
        <f t="shared" si="0"/>
        <v>0</v>
      </c>
      <c r="H16" s="104"/>
      <c r="I16" s="53"/>
      <c r="J16" s="52"/>
      <c r="K16" s="53"/>
      <c r="L16" s="52">
        <f t="shared" si="1"/>
        <v>0</v>
      </c>
      <c r="M16" s="64">
        <f t="shared" si="2"/>
        <v>0</v>
      </c>
      <c r="N16" s="54">
        <f t="shared" si="3"/>
        <v>0</v>
      </c>
      <c r="O16" s="52">
        <f t="shared" si="4"/>
        <v>0</v>
      </c>
      <c r="P16" s="65">
        <f t="shared" si="5"/>
        <v>21</v>
      </c>
    </row>
    <row r="17" spans="1:16" ht="15" x14ac:dyDescent="0.2">
      <c r="A17" s="58">
        <v>13</v>
      </c>
      <c r="B17" s="105"/>
      <c r="C17" s="54"/>
      <c r="D17" s="53"/>
      <c r="E17" s="52"/>
      <c r="F17" s="53"/>
      <c r="G17" s="52">
        <f t="shared" si="0"/>
        <v>0</v>
      </c>
      <c r="H17" s="104"/>
      <c r="I17" s="53"/>
      <c r="J17" s="53"/>
      <c r="K17" s="53"/>
      <c r="L17" s="52">
        <f t="shared" si="1"/>
        <v>0</v>
      </c>
      <c r="M17" s="64">
        <f t="shared" si="2"/>
        <v>0</v>
      </c>
      <c r="N17" s="54">
        <f t="shared" si="3"/>
        <v>0</v>
      </c>
      <c r="O17" s="52">
        <f t="shared" si="4"/>
        <v>0</v>
      </c>
      <c r="P17" s="65">
        <f t="shared" si="5"/>
        <v>20</v>
      </c>
    </row>
    <row r="18" spans="1:16" ht="15" x14ac:dyDescent="0.2">
      <c r="A18" s="58">
        <v>14</v>
      </c>
      <c r="B18" s="105"/>
      <c r="C18" s="54"/>
      <c r="D18" s="53"/>
      <c r="E18" s="52"/>
      <c r="F18" s="53"/>
      <c r="G18" s="52">
        <f t="shared" si="0"/>
        <v>0</v>
      </c>
      <c r="H18" s="104"/>
      <c r="I18" s="53"/>
      <c r="J18" s="52"/>
      <c r="K18" s="53"/>
      <c r="L18" s="52">
        <f t="shared" si="1"/>
        <v>0</v>
      </c>
      <c r="M18" s="64">
        <f t="shared" si="2"/>
        <v>0</v>
      </c>
      <c r="N18" s="54">
        <f t="shared" si="3"/>
        <v>0</v>
      </c>
      <c r="O18" s="52">
        <f t="shared" si="4"/>
        <v>0</v>
      </c>
      <c r="P18" s="65">
        <f t="shared" si="5"/>
        <v>19</v>
      </c>
    </row>
    <row r="19" spans="1:16" ht="15" x14ac:dyDescent="0.2">
      <c r="A19" s="58">
        <v>15</v>
      </c>
      <c r="B19" s="105"/>
      <c r="C19" s="54"/>
      <c r="D19" s="53"/>
      <c r="E19" s="52"/>
      <c r="F19" s="53"/>
      <c r="G19" s="52">
        <f t="shared" si="0"/>
        <v>0</v>
      </c>
      <c r="H19" s="104"/>
      <c r="I19" s="53"/>
      <c r="J19" s="53"/>
      <c r="K19" s="53"/>
      <c r="L19" s="52">
        <f t="shared" si="1"/>
        <v>0</v>
      </c>
      <c r="M19" s="64">
        <f t="shared" si="2"/>
        <v>0</v>
      </c>
      <c r="N19" s="54">
        <f t="shared" si="3"/>
        <v>0</v>
      </c>
      <c r="O19" s="52">
        <f t="shared" si="4"/>
        <v>0</v>
      </c>
      <c r="P19" s="65">
        <f t="shared" si="5"/>
        <v>18</v>
      </c>
    </row>
    <row r="20" spans="1:16" ht="15" x14ac:dyDescent="0.2">
      <c r="A20" s="58">
        <v>16</v>
      </c>
      <c r="B20" s="105"/>
      <c r="C20" s="54"/>
      <c r="D20" s="53"/>
      <c r="E20" s="52"/>
      <c r="F20" s="53"/>
      <c r="G20" s="52">
        <f t="shared" si="0"/>
        <v>0</v>
      </c>
      <c r="H20" s="104"/>
      <c r="I20" s="53"/>
      <c r="J20" s="53"/>
      <c r="K20" s="53"/>
      <c r="L20" s="52">
        <f t="shared" si="1"/>
        <v>0</v>
      </c>
      <c r="M20" s="64">
        <f t="shared" si="2"/>
        <v>0</v>
      </c>
      <c r="N20" s="54">
        <f t="shared" si="3"/>
        <v>0</v>
      </c>
      <c r="O20" s="52">
        <f t="shared" si="4"/>
        <v>0</v>
      </c>
      <c r="P20" s="65">
        <f t="shared" si="5"/>
        <v>17</v>
      </c>
    </row>
    <row r="21" spans="1:16" ht="15" x14ac:dyDescent="0.2">
      <c r="A21" s="58">
        <v>17</v>
      </c>
      <c r="B21" s="105"/>
      <c r="C21" s="54"/>
      <c r="D21" s="53"/>
      <c r="E21" s="52"/>
      <c r="F21" s="53"/>
      <c r="G21" s="52">
        <f t="shared" si="0"/>
        <v>0</v>
      </c>
      <c r="H21" s="104"/>
      <c r="I21" s="53"/>
      <c r="J21" s="53"/>
      <c r="K21" s="53"/>
      <c r="L21" s="52">
        <f t="shared" si="1"/>
        <v>0</v>
      </c>
      <c r="M21" s="64">
        <f t="shared" si="2"/>
        <v>0</v>
      </c>
      <c r="N21" s="54">
        <f t="shared" si="3"/>
        <v>0</v>
      </c>
      <c r="O21" s="52">
        <f t="shared" si="4"/>
        <v>0</v>
      </c>
      <c r="P21" s="65">
        <f t="shared" si="5"/>
        <v>16</v>
      </c>
    </row>
    <row r="22" spans="1:16" ht="15" x14ac:dyDescent="0.2">
      <c r="A22" s="58">
        <v>18</v>
      </c>
      <c r="B22" s="105"/>
      <c r="C22" s="54"/>
      <c r="D22" s="53"/>
      <c r="E22" s="52"/>
      <c r="F22" s="53"/>
      <c r="G22" s="52">
        <f t="shared" si="0"/>
        <v>0</v>
      </c>
      <c r="H22" s="104"/>
      <c r="I22" s="53"/>
      <c r="J22" s="52"/>
      <c r="K22" s="53"/>
      <c r="L22" s="52">
        <f t="shared" si="1"/>
        <v>0</v>
      </c>
      <c r="M22" s="64">
        <f t="shared" si="2"/>
        <v>0</v>
      </c>
      <c r="N22" s="54">
        <f t="shared" si="3"/>
        <v>0</v>
      </c>
      <c r="O22" s="52">
        <f t="shared" si="4"/>
        <v>0</v>
      </c>
      <c r="P22" s="65">
        <f t="shared" si="5"/>
        <v>15</v>
      </c>
    </row>
    <row r="23" spans="1:16" ht="15" x14ac:dyDescent="0.2">
      <c r="A23" s="58">
        <v>19</v>
      </c>
      <c r="B23" s="105"/>
      <c r="C23" s="54"/>
      <c r="D23" s="53"/>
      <c r="E23" s="52"/>
      <c r="F23" s="53"/>
      <c r="G23" s="52">
        <f t="shared" si="0"/>
        <v>0</v>
      </c>
      <c r="H23" s="104"/>
      <c r="I23" s="53"/>
      <c r="J23" s="52"/>
      <c r="K23" s="53"/>
      <c r="L23" s="52">
        <f t="shared" si="1"/>
        <v>0</v>
      </c>
      <c r="M23" s="64">
        <f t="shared" si="2"/>
        <v>0</v>
      </c>
      <c r="N23" s="54">
        <f t="shared" si="3"/>
        <v>0</v>
      </c>
      <c r="O23" s="52">
        <f t="shared" si="4"/>
        <v>0</v>
      </c>
      <c r="P23" s="65">
        <f t="shared" si="5"/>
        <v>14</v>
      </c>
    </row>
    <row r="24" spans="1:16" ht="15" x14ac:dyDescent="0.2">
      <c r="A24" s="58">
        <v>20</v>
      </c>
      <c r="B24" s="105"/>
      <c r="C24" s="54"/>
      <c r="D24" s="53"/>
      <c r="E24" s="52"/>
      <c r="F24" s="53"/>
      <c r="G24" s="52">
        <f t="shared" si="0"/>
        <v>0</v>
      </c>
      <c r="H24" s="104"/>
      <c r="I24" s="53"/>
      <c r="J24" s="53"/>
      <c r="K24" s="53"/>
      <c r="L24" s="52">
        <f t="shared" si="1"/>
        <v>0</v>
      </c>
      <c r="M24" s="64">
        <f t="shared" si="2"/>
        <v>0</v>
      </c>
      <c r="N24" s="54">
        <f t="shared" si="3"/>
        <v>0</v>
      </c>
      <c r="O24" s="52">
        <f t="shared" si="4"/>
        <v>0</v>
      </c>
      <c r="P24" s="65">
        <f t="shared" si="5"/>
        <v>13</v>
      </c>
    </row>
    <row r="25" spans="1:16" ht="15" x14ac:dyDescent="0.2">
      <c r="A25" s="58">
        <v>21</v>
      </c>
      <c r="B25" s="105"/>
      <c r="C25" s="54"/>
      <c r="D25" s="53"/>
      <c r="E25" s="52"/>
      <c r="F25" s="53"/>
      <c r="G25" s="52">
        <f t="shared" si="0"/>
        <v>0</v>
      </c>
      <c r="H25" s="104"/>
      <c r="I25" s="53"/>
      <c r="J25" s="52"/>
      <c r="K25" s="53"/>
      <c r="L25" s="52">
        <f t="shared" si="1"/>
        <v>0</v>
      </c>
      <c r="M25" s="64">
        <f t="shared" si="2"/>
        <v>0</v>
      </c>
      <c r="N25" s="54">
        <f t="shared" si="3"/>
        <v>0</v>
      </c>
      <c r="O25" s="52">
        <f t="shared" si="4"/>
        <v>0</v>
      </c>
      <c r="P25" s="65">
        <f t="shared" si="5"/>
        <v>12</v>
      </c>
    </row>
    <row r="26" spans="1:16" ht="15" x14ac:dyDescent="0.2">
      <c r="A26" s="58">
        <v>22</v>
      </c>
      <c r="B26" s="105"/>
      <c r="C26" s="54"/>
      <c r="D26" s="53"/>
      <c r="E26" s="52"/>
      <c r="F26" s="53"/>
      <c r="G26" s="52">
        <f t="shared" si="0"/>
        <v>0</v>
      </c>
      <c r="H26" s="104"/>
      <c r="I26" s="53"/>
      <c r="J26" s="53"/>
      <c r="K26" s="53"/>
      <c r="L26" s="52">
        <f t="shared" si="1"/>
        <v>0</v>
      </c>
      <c r="M26" s="64">
        <f t="shared" si="2"/>
        <v>0</v>
      </c>
      <c r="N26" s="54">
        <f t="shared" si="3"/>
        <v>0</v>
      </c>
      <c r="O26" s="52">
        <f t="shared" si="4"/>
        <v>0</v>
      </c>
      <c r="P26" s="65">
        <f t="shared" si="5"/>
        <v>11</v>
      </c>
    </row>
    <row r="27" spans="1:16" ht="15" x14ac:dyDescent="0.2">
      <c r="A27" s="58">
        <v>23</v>
      </c>
      <c r="B27" s="105"/>
      <c r="C27" s="54"/>
      <c r="D27" s="53"/>
      <c r="E27" s="52"/>
      <c r="F27" s="53"/>
      <c r="G27" s="52">
        <f t="shared" si="0"/>
        <v>0</v>
      </c>
      <c r="H27" s="104"/>
      <c r="I27" s="53"/>
      <c r="J27" s="53"/>
      <c r="K27" s="53"/>
      <c r="L27" s="52">
        <f t="shared" si="1"/>
        <v>0</v>
      </c>
      <c r="M27" s="64">
        <f t="shared" si="2"/>
        <v>0</v>
      </c>
      <c r="N27" s="54">
        <f t="shared" si="3"/>
        <v>0</v>
      </c>
      <c r="O27" s="52">
        <f t="shared" si="4"/>
        <v>0</v>
      </c>
      <c r="P27" s="65">
        <f t="shared" si="5"/>
        <v>10</v>
      </c>
    </row>
    <row r="28" spans="1:16" ht="15" x14ac:dyDescent="0.2">
      <c r="A28" s="58">
        <v>24</v>
      </c>
      <c r="B28" s="105"/>
      <c r="C28" s="54"/>
      <c r="D28" s="53"/>
      <c r="E28" s="52"/>
      <c r="F28" s="53"/>
      <c r="G28" s="52">
        <f t="shared" si="0"/>
        <v>0</v>
      </c>
      <c r="H28" s="104"/>
      <c r="I28" s="53"/>
      <c r="J28" s="53"/>
      <c r="K28" s="53"/>
      <c r="L28" s="52">
        <f t="shared" si="1"/>
        <v>0</v>
      </c>
      <c r="M28" s="64">
        <f t="shared" si="2"/>
        <v>0</v>
      </c>
      <c r="N28" s="54">
        <f t="shared" si="3"/>
        <v>0</v>
      </c>
      <c r="O28" s="52">
        <f t="shared" si="4"/>
        <v>0</v>
      </c>
      <c r="P28" s="65">
        <f t="shared" si="5"/>
        <v>9</v>
      </c>
    </row>
    <row r="29" spans="1:16" ht="15" x14ac:dyDescent="0.2">
      <c r="A29" s="58">
        <v>25</v>
      </c>
      <c r="B29" s="105"/>
      <c r="C29" s="54"/>
      <c r="D29" s="53"/>
      <c r="E29" s="52"/>
      <c r="F29" s="53"/>
      <c r="G29" s="52">
        <f t="shared" si="0"/>
        <v>0</v>
      </c>
      <c r="H29" s="104"/>
      <c r="I29" s="53"/>
      <c r="J29" s="53"/>
      <c r="K29" s="53"/>
      <c r="L29" s="52">
        <f t="shared" si="1"/>
        <v>0</v>
      </c>
      <c r="M29" s="64">
        <f t="shared" si="2"/>
        <v>0</v>
      </c>
      <c r="N29" s="54">
        <f t="shared" si="3"/>
        <v>0</v>
      </c>
      <c r="O29" s="52">
        <f t="shared" si="4"/>
        <v>0</v>
      </c>
      <c r="P29" s="65">
        <f t="shared" si="5"/>
        <v>8</v>
      </c>
    </row>
    <row r="30" spans="1:16" ht="15" x14ac:dyDescent="0.2">
      <c r="A30" s="58">
        <v>26</v>
      </c>
      <c r="B30" s="106"/>
      <c r="C30" s="54"/>
      <c r="D30" s="53"/>
      <c r="E30" s="52"/>
      <c r="F30" s="53"/>
      <c r="G30" s="52">
        <f t="shared" si="0"/>
        <v>0</v>
      </c>
      <c r="H30" s="104"/>
      <c r="I30" s="53"/>
      <c r="J30" s="53"/>
      <c r="K30" s="53"/>
      <c r="L30" s="52">
        <f t="shared" si="1"/>
        <v>0</v>
      </c>
      <c r="M30" s="64">
        <f t="shared" si="2"/>
        <v>0</v>
      </c>
      <c r="N30" s="54">
        <f t="shared" si="3"/>
        <v>0</v>
      </c>
      <c r="O30" s="52">
        <f t="shared" si="4"/>
        <v>0</v>
      </c>
      <c r="P30" s="65">
        <f t="shared" si="5"/>
        <v>7</v>
      </c>
    </row>
    <row r="31" spans="1:16" ht="15" x14ac:dyDescent="0.2">
      <c r="A31" s="58">
        <v>27</v>
      </c>
      <c r="B31" s="105"/>
      <c r="C31" s="54"/>
      <c r="D31" s="53"/>
      <c r="E31" s="52"/>
      <c r="F31" s="53"/>
      <c r="G31" s="52">
        <f t="shared" si="0"/>
        <v>0</v>
      </c>
      <c r="H31" s="104"/>
      <c r="I31" s="53"/>
      <c r="J31" s="52"/>
      <c r="K31" s="53"/>
      <c r="L31" s="52">
        <f t="shared" si="1"/>
        <v>0</v>
      </c>
      <c r="M31" s="64">
        <f t="shared" si="2"/>
        <v>0</v>
      </c>
      <c r="N31" s="54">
        <f t="shared" si="3"/>
        <v>0</v>
      </c>
      <c r="O31" s="52">
        <f t="shared" si="4"/>
        <v>0</v>
      </c>
      <c r="P31" s="65">
        <f t="shared" si="5"/>
        <v>6</v>
      </c>
    </row>
    <row r="32" spans="1:16" ht="15" x14ac:dyDescent="0.2">
      <c r="A32" s="58">
        <v>28</v>
      </c>
      <c r="B32" s="105"/>
      <c r="C32" s="54"/>
      <c r="D32" s="53"/>
      <c r="E32" s="52"/>
      <c r="F32" s="53"/>
      <c r="G32" s="52">
        <f t="shared" si="0"/>
        <v>0</v>
      </c>
      <c r="H32" s="104"/>
      <c r="I32" s="53"/>
      <c r="J32" s="53"/>
      <c r="K32" s="53"/>
      <c r="L32" s="52">
        <f t="shared" si="1"/>
        <v>0</v>
      </c>
      <c r="M32" s="64">
        <f t="shared" si="2"/>
        <v>0</v>
      </c>
      <c r="N32" s="54">
        <f t="shared" si="3"/>
        <v>0</v>
      </c>
      <c r="O32" s="52">
        <f t="shared" si="4"/>
        <v>0</v>
      </c>
      <c r="P32" s="65">
        <f t="shared" si="5"/>
        <v>5</v>
      </c>
    </row>
    <row r="33" spans="1:16" ht="15" x14ac:dyDescent="0.2">
      <c r="A33" s="58">
        <v>29</v>
      </c>
      <c r="B33" s="106"/>
      <c r="C33" s="54"/>
      <c r="D33" s="53"/>
      <c r="E33" s="53"/>
      <c r="F33" s="52"/>
      <c r="G33" s="52">
        <f t="shared" si="0"/>
        <v>0</v>
      </c>
      <c r="H33" s="104"/>
      <c r="I33" s="54"/>
      <c r="J33" s="52"/>
      <c r="K33" s="53"/>
      <c r="L33" s="52">
        <f t="shared" si="1"/>
        <v>0</v>
      </c>
      <c r="M33" s="64">
        <f t="shared" si="2"/>
        <v>0</v>
      </c>
      <c r="N33" s="54">
        <f t="shared" si="3"/>
        <v>0</v>
      </c>
      <c r="O33" s="52">
        <f t="shared" si="4"/>
        <v>0</v>
      </c>
      <c r="P33" s="65">
        <f t="shared" si="5"/>
        <v>4</v>
      </c>
    </row>
    <row r="34" spans="1:16" ht="15" x14ac:dyDescent="0.2">
      <c r="A34" s="58">
        <v>30</v>
      </c>
      <c r="B34" s="105"/>
      <c r="C34" s="54"/>
      <c r="D34" s="53"/>
      <c r="E34" s="52"/>
      <c r="F34" s="53"/>
      <c r="G34" s="52">
        <f t="shared" si="0"/>
        <v>0</v>
      </c>
      <c r="H34" s="54"/>
      <c r="I34" s="53"/>
      <c r="J34" s="53"/>
      <c r="K34" s="53"/>
      <c r="L34" s="52">
        <f t="shared" si="1"/>
        <v>0</v>
      </c>
      <c r="M34" s="64">
        <f t="shared" si="2"/>
        <v>0</v>
      </c>
      <c r="N34" s="54">
        <f t="shared" si="3"/>
        <v>0</v>
      </c>
      <c r="O34" s="52">
        <f t="shared" si="4"/>
        <v>0</v>
      </c>
      <c r="P34" s="65">
        <f t="shared" si="5"/>
        <v>3</v>
      </c>
    </row>
    <row r="35" spans="1:16" ht="15" x14ac:dyDescent="0.2">
      <c r="A35" s="58">
        <v>31</v>
      </c>
      <c r="B35" s="105"/>
      <c r="C35" s="111"/>
      <c r="D35" s="112"/>
      <c r="E35" s="113"/>
      <c r="F35" s="112"/>
      <c r="G35" s="113">
        <f t="shared" ref="G35:G55" si="6">SUM(E35-F35)</f>
        <v>0</v>
      </c>
      <c r="H35" s="104"/>
      <c r="I35" s="112"/>
      <c r="J35" s="112"/>
      <c r="K35" s="112"/>
      <c r="L35" s="113">
        <f t="shared" ref="L35:L55" si="7">SUM(J35-K35)</f>
        <v>0</v>
      </c>
      <c r="M35" s="64">
        <f t="shared" ref="M35:M55" si="8">MAX(D35,I35)</f>
        <v>0</v>
      </c>
      <c r="N35" s="111">
        <f t="shared" ref="N35:N55" si="9">SUM(C35+H35)</f>
        <v>0</v>
      </c>
      <c r="O35" s="113">
        <f t="shared" ref="O35:O55" si="10">SUM(G35+L35)</f>
        <v>0</v>
      </c>
      <c r="P35" s="65">
        <f t="shared" si="5"/>
        <v>2</v>
      </c>
    </row>
    <row r="36" spans="1:16" ht="15" x14ac:dyDescent="0.2">
      <c r="A36" s="58">
        <v>32</v>
      </c>
      <c r="B36" s="105"/>
      <c r="C36" s="111"/>
      <c r="D36" s="112"/>
      <c r="E36" s="113"/>
      <c r="F36" s="112"/>
      <c r="G36" s="113">
        <f t="shared" si="6"/>
        <v>0</v>
      </c>
      <c r="H36" s="104"/>
      <c r="I36" s="112"/>
      <c r="J36" s="112"/>
      <c r="K36" s="112"/>
      <c r="L36" s="113">
        <f t="shared" si="7"/>
        <v>0</v>
      </c>
      <c r="M36" s="64">
        <f t="shared" si="8"/>
        <v>0</v>
      </c>
      <c r="N36" s="111">
        <f t="shared" si="9"/>
        <v>0</v>
      </c>
      <c r="O36" s="113">
        <f t="shared" si="10"/>
        <v>0</v>
      </c>
      <c r="P36" s="65">
        <f t="shared" si="5"/>
        <v>2</v>
      </c>
    </row>
    <row r="37" spans="1:16" ht="15" x14ac:dyDescent="0.2">
      <c r="A37" s="58">
        <v>33</v>
      </c>
      <c r="B37" s="105"/>
      <c r="C37" s="111"/>
      <c r="D37" s="112"/>
      <c r="E37" s="113"/>
      <c r="F37" s="112"/>
      <c r="G37" s="113">
        <f t="shared" si="6"/>
        <v>0</v>
      </c>
      <c r="H37" s="104"/>
      <c r="I37" s="112"/>
      <c r="J37" s="112"/>
      <c r="K37" s="112"/>
      <c r="L37" s="113">
        <f t="shared" si="7"/>
        <v>0</v>
      </c>
      <c r="M37" s="64">
        <f t="shared" si="8"/>
        <v>0</v>
      </c>
      <c r="N37" s="111">
        <f t="shared" si="9"/>
        <v>0</v>
      </c>
      <c r="O37" s="113">
        <f t="shared" si="10"/>
        <v>0</v>
      </c>
      <c r="P37" s="65">
        <f t="shared" si="5"/>
        <v>2</v>
      </c>
    </row>
    <row r="38" spans="1:16" ht="15" x14ac:dyDescent="0.2">
      <c r="A38" s="58">
        <v>34</v>
      </c>
      <c r="B38" s="105"/>
      <c r="C38" s="111"/>
      <c r="D38" s="112"/>
      <c r="E38" s="113"/>
      <c r="F38" s="112"/>
      <c r="G38" s="113">
        <f t="shared" si="6"/>
        <v>0</v>
      </c>
      <c r="H38" s="104"/>
      <c r="I38" s="112"/>
      <c r="J38" s="112"/>
      <c r="K38" s="112"/>
      <c r="L38" s="113">
        <f t="shared" si="7"/>
        <v>0</v>
      </c>
      <c r="M38" s="64">
        <f t="shared" si="8"/>
        <v>0</v>
      </c>
      <c r="N38" s="111">
        <f t="shared" si="9"/>
        <v>0</v>
      </c>
      <c r="O38" s="113">
        <f t="shared" si="10"/>
        <v>0</v>
      </c>
      <c r="P38" s="65">
        <f t="shared" si="5"/>
        <v>2</v>
      </c>
    </row>
    <row r="39" spans="1:16" ht="15" x14ac:dyDescent="0.2">
      <c r="A39" s="58">
        <v>35</v>
      </c>
      <c r="B39" s="105"/>
      <c r="C39" s="111"/>
      <c r="D39" s="112"/>
      <c r="E39" s="113"/>
      <c r="F39" s="112"/>
      <c r="G39" s="113">
        <f t="shared" si="6"/>
        <v>0</v>
      </c>
      <c r="H39" s="104"/>
      <c r="I39" s="112"/>
      <c r="J39" s="112"/>
      <c r="K39" s="112"/>
      <c r="L39" s="113">
        <f t="shared" si="7"/>
        <v>0</v>
      </c>
      <c r="M39" s="64">
        <f t="shared" si="8"/>
        <v>0</v>
      </c>
      <c r="N39" s="111">
        <f t="shared" si="9"/>
        <v>0</v>
      </c>
      <c r="O39" s="113">
        <f t="shared" si="10"/>
        <v>0</v>
      </c>
      <c r="P39" s="65">
        <f t="shared" si="5"/>
        <v>2</v>
      </c>
    </row>
    <row r="40" spans="1:16" ht="15" x14ac:dyDescent="0.2">
      <c r="A40" s="58">
        <v>36</v>
      </c>
      <c r="B40" s="105"/>
      <c r="C40" s="111"/>
      <c r="D40" s="112"/>
      <c r="E40" s="113"/>
      <c r="F40" s="112"/>
      <c r="G40" s="113">
        <f t="shared" si="6"/>
        <v>0</v>
      </c>
      <c r="H40" s="104"/>
      <c r="I40" s="112"/>
      <c r="J40" s="112"/>
      <c r="K40" s="112"/>
      <c r="L40" s="113">
        <f t="shared" si="7"/>
        <v>0</v>
      </c>
      <c r="M40" s="64">
        <f t="shared" si="8"/>
        <v>0</v>
      </c>
      <c r="N40" s="111">
        <f t="shared" si="9"/>
        <v>0</v>
      </c>
      <c r="O40" s="113">
        <f t="shared" si="10"/>
        <v>0</v>
      </c>
      <c r="P40" s="65">
        <f t="shared" si="5"/>
        <v>2</v>
      </c>
    </row>
    <row r="41" spans="1:16" ht="15" x14ac:dyDescent="0.2">
      <c r="A41" s="58">
        <v>37</v>
      </c>
      <c r="B41" s="105"/>
      <c r="C41" s="111"/>
      <c r="D41" s="112"/>
      <c r="E41" s="113"/>
      <c r="F41" s="112"/>
      <c r="G41" s="113">
        <f t="shared" si="6"/>
        <v>0</v>
      </c>
      <c r="H41" s="104"/>
      <c r="I41" s="112"/>
      <c r="J41" s="112"/>
      <c r="K41" s="112"/>
      <c r="L41" s="113">
        <f t="shared" si="7"/>
        <v>0</v>
      </c>
      <c r="M41" s="64">
        <f t="shared" si="8"/>
        <v>0</v>
      </c>
      <c r="N41" s="111">
        <f t="shared" si="9"/>
        <v>0</v>
      </c>
      <c r="O41" s="113">
        <f t="shared" si="10"/>
        <v>0</v>
      </c>
      <c r="P41" s="65">
        <f t="shared" si="5"/>
        <v>2</v>
      </c>
    </row>
    <row r="42" spans="1:16" ht="15" x14ac:dyDescent="0.2">
      <c r="A42" s="58">
        <v>38</v>
      </c>
      <c r="B42" s="105"/>
      <c r="C42" s="111"/>
      <c r="D42" s="112"/>
      <c r="E42" s="113"/>
      <c r="F42" s="112"/>
      <c r="G42" s="113">
        <f t="shared" si="6"/>
        <v>0</v>
      </c>
      <c r="H42" s="104"/>
      <c r="I42" s="112"/>
      <c r="J42" s="112"/>
      <c r="K42" s="112"/>
      <c r="L42" s="113">
        <f t="shared" si="7"/>
        <v>0</v>
      </c>
      <c r="M42" s="64">
        <f t="shared" si="8"/>
        <v>0</v>
      </c>
      <c r="N42" s="111">
        <f t="shared" si="9"/>
        <v>0</v>
      </c>
      <c r="O42" s="113">
        <f t="shared" si="10"/>
        <v>0</v>
      </c>
      <c r="P42" s="65">
        <f t="shared" si="5"/>
        <v>2</v>
      </c>
    </row>
    <row r="43" spans="1:16" ht="15" x14ac:dyDescent="0.2">
      <c r="A43" s="58">
        <v>39</v>
      </c>
      <c r="B43" s="105"/>
      <c r="C43" s="111"/>
      <c r="D43" s="112"/>
      <c r="E43" s="113"/>
      <c r="F43" s="112"/>
      <c r="G43" s="113">
        <f t="shared" si="6"/>
        <v>0</v>
      </c>
      <c r="H43" s="104"/>
      <c r="I43" s="112"/>
      <c r="J43" s="112"/>
      <c r="K43" s="112"/>
      <c r="L43" s="113">
        <f t="shared" si="7"/>
        <v>0</v>
      </c>
      <c r="M43" s="64">
        <f t="shared" si="8"/>
        <v>0</v>
      </c>
      <c r="N43" s="111">
        <f t="shared" si="9"/>
        <v>0</v>
      </c>
      <c r="O43" s="113">
        <f t="shared" si="10"/>
        <v>0</v>
      </c>
      <c r="P43" s="65">
        <f t="shared" si="5"/>
        <v>2</v>
      </c>
    </row>
    <row r="44" spans="1:16" ht="15" x14ac:dyDescent="0.2">
      <c r="A44" s="58">
        <v>40</v>
      </c>
      <c r="B44" s="105"/>
      <c r="C44" s="111"/>
      <c r="D44" s="112"/>
      <c r="E44" s="113"/>
      <c r="F44" s="112"/>
      <c r="G44" s="113">
        <f t="shared" si="6"/>
        <v>0</v>
      </c>
      <c r="H44" s="104"/>
      <c r="I44" s="112"/>
      <c r="J44" s="112"/>
      <c r="K44" s="112"/>
      <c r="L44" s="113">
        <f t="shared" si="7"/>
        <v>0</v>
      </c>
      <c r="M44" s="64">
        <f t="shared" si="8"/>
        <v>0</v>
      </c>
      <c r="N44" s="111">
        <f t="shared" si="9"/>
        <v>0</v>
      </c>
      <c r="O44" s="113">
        <f t="shared" si="10"/>
        <v>0</v>
      </c>
      <c r="P44" s="65">
        <f t="shared" si="5"/>
        <v>2</v>
      </c>
    </row>
    <row r="45" spans="1:16" ht="15" x14ac:dyDescent="0.2">
      <c r="A45" s="58">
        <v>41</v>
      </c>
      <c r="B45" s="105"/>
      <c r="C45" s="111"/>
      <c r="D45" s="112"/>
      <c r="E45" s="113"/>
      <c r="F45" s="112"/>
      <c r="G45" s="113">
        <f t="shared" si="6"/>
        <v>0</v>
      </c>
      <c r="H45" s="104"/>
      <c r="I45" s="112"/>
      <c r="J45" s="112"/>
      <c r="K45" s="112"/>
      <c r="L45" s="113">
        <f t="shared" si="7"/>
        <v>0</v>
      </c>
      <c r="M45" s="64">
        <f t="shared" si="8"/>
        <v>0</v>
      </c>
      <c r="N45" s="111">
        <f t="shared" si="9"/>
        <v>0</v>
      </c>
      <c r="O45" s="113">
        <f t="shared" si="10"/>
        <v>0</v>
      </c>
      <c r="P45" s="65">
        <f t="shared" si="5"/>
        <v>2</v>
      </c>
    </row>
    <row r="46" spans="1:16" ht="15" x14ac:dyDescent="0.2">
      <c r="A46" s="58">
        <v>42</v>
      </c>
      <c r="B46" s="105"/>
      <c r="C46" s="111"/>
      <c r="D46" s="112"/>
      <c r="E46" s="113"/>
      <c r="F46" s="112"/>
      <c r="G46" s="113">
        <f t="shared" si="6"/>
        <v>0</v>
      </c>
      <c r="H46" s="104"/>
      <c r="I46" s="112"/>
      <c r="J46" s="112"/>
      <c r="K46" s="112"/>
      <c r="L46" s="113">
        <f t="shared" si="7"/>
        <v>0</v>
      </c>
      <c r="M46" s="64">
        <f t="shared" si="8"/>
        <v>0</v>
      </c>
      <c r="N46" s="111">
        <f t="shared" si="9"/>
        <v>0</v>
      </c>
      <c r="O46" s="113">
        <f t="shared" si="10"/>
        <v>0</v>
      </c>
      <c r="P46" s="65">
        <f t="shared" si="5"/>
        <v>2</v>
      </c>
    </row>
    <row r="47" spans="1:16" ht="15" x14ac:dyDescent="0.2">
      <c r="A47" s="58">
        <v>43</v>
      </c>
      <c r="B47" s="105"/>
      <c r="C47" s="111"/>
      <c r="D47" s="112"/>
      <c r="E47" s="113"/>
      <c r="F47" s="112"/>
      <c r="G47" s="113">
        <f t="shared" si="6"/>
        <v>0</v>
      </c>
      <c r="H47" s="104"/>
      <c r="I47" s="112"/>
      <c r="J47" s="112"/>
      <c r="K47" s="112"/>
      <c r="L47" s="113">
        <f t="shared" si="7"/>
        <v>0</v>
      </c>
      <c r="M47" s="64">
        <f t="shared" si="8"/>
        <v>0</v>
      </c>
      <c r="N47" s="111">
        <f t="shared" si="9"/>
        <v>0</v>
      </c>
      <c r="O47" s="113">
        <f t="shared" si="10"/>
        <v>0</v>
      </c>
      <c r="P47" s="65">
        <f t="shared" si="5"/>
        <v>2</v>
      </c>
    </row>
    <row r="48" spans="1:16" ht="15" x14ac:dyDescent="0.2">
      <c r="A48" s="58">
        <v>44</v>
      </c>
      <c r="B48" s="105"/>
      <c r="C48" s="111"/>
      <c r="D48" s="112"/>
      <c r="E48" s="113"/>
      <c r="F48" s="112"/>
      <c r="G48" s="113">
        <f t="shared" si="6"/>
        <v>0</v>
      </c>
      <c r="H48" s="104"/>
      <c r="I48" s="112"/>
      <c r="J48" s="112"/>
      <c r="K48" s="112"/>
      <c r="L48" s="113">
        <f t="shared" si="7"/>
        <v>0</v>
      </c>
      <c r="M48" s="64">
        <f t="shared" si="8"/>
        <v>0</v>
      </c>
      <c r="N48" s="111">
        <f t="shared" si="9"/>
        <v>0</v>
      </c>
      <c r="O48" s="113">
        <f t="shared" si="10"/>
        <v>0</v>
      </c>
      <c r="P48" s="65">
        <f t="shared" si="5"/>
        <v>2</v>
      </c>
    </row>
    <row r="49" spans="1:17" ht="15" x14ac:dyDescent="0.2">
      <c r="A49" s="58">
        <v>45</v>
      </c>
      <c r="B49" s="105"/>
      <c r="C49" s="111"/>
      <c r="D49" s="112"/>
      <c r="E49" s="113"/>
      <c r="F49" s="112"/>
      <c r="G49" s="113">
        <f t="shared" si="6"/>
        <v>0</v>
      </c>
      <c r="H49" s="104"/>
      <c r="I49" s="112"/>
      <c r="J49" s="112"/>
      <c r="K49" s="112"/>
      <c r="L49" s="113">
        <f t="shared" si="7"/>
        <v>0</v>
      </c>
      <c r="M49" s="64">
        <f t="shared" si="8"/>
        <v>0</v>
      </c>
      <c r="N49" s="111">
        <f t="shared" si="9"/>
        <v>0</v>
      </c>
      <c r="O49" s="113">
        <f t="shared" si="10"/>
        <v>0</v>
      </c>
      <c r="P49" s="65">
        <f t="shared" si="5"/>
        <v>2</v>
      </c>
    </row>
    <row r="50" spans="1:17" ht="15" x14ac:dyDescent="0.2">
      <c r="A50" s="58">
        <v>46</v>
      </c>
      <c r="B50" s="105"/>
      <c r="C50" s="111"/>
      <c r="D50" s="112"/>
      <c r="E50" s="113"/>
      <c r="F50" s="112"/>
      <c r="G50" s="113">
        <f t="shared" si="6"/>
        <v>0</v>
      </c>
      <c r="H50" s="104"/>
      <c r="I50" s="112"/>
      <c r="J50" s="112"/>
      <c r="K50" s="112"/>
      <c r="L50" s="113">
        <f t="shared" si="7"/>
        <v>0</v>
      </c>
      <c r="M50" s="64">
        <f t="shared" si="8"/>
        <v>0</v>
      </c>
      <c r="N50" s="111">
        <f t="shared" si="9"/>
        <v>0</v>
      </c>
      <c r="O50" s="113">
        <f t="shared" si="10"/>
        <v>0</v>
      </c>
      <c r="P50" s="65">
        <f t="shared" si="5"/>
        <v>2</v>
      </c>
    </row>
    <row r="51" spans="1:17" ht="15" x14ac:dyDescent="0.2">
      <c r="A51" s="58">
        <v>47</v>
      </c>
      <c r="B51" s="105"/>
      <c r="C51" s="111"/>
      <c r="D51" s="112"/>
      <c r="E51" s="113"/>
      <c r="F51" s="112"/>
      <c r="G51" s="113">
        <f t="shared" si="6"/>
        <v>0</v>
      </c>
      <c r="H51" s="104"/>
      <c r="I51" s="112"/>
      <c r="J51" s="112"/>
      <c r="K51" s="112"/>
      <c r="L51" s="113">
        <f t="shared" si="7"/>
        <v>0</v>
      </c>
      <c r="M51" s="64">
        <f t="shared" si="8"/>
        <v>0</v>
      </c>
      <c r="N51" s="111">
        <f t="shared" si="9"/>
        <v>0</v>
      </c>
      <c r="O51" s="113">
        <f t="shared" si="10"/>
        <v>0</v>
      </c>
      <c r="P51" s="65">
        <f t="shared" si="5"/>
        <v>2</v>
      </c>
    </row>
    <row r="52" spans="1:17" ht="15" x14ac:dyDescent="0.2">
      <c r="A52" s="58">
        <v>48</v>
      </c>
      <c r="B52" s="105"/>
      <c r="C52" s="111"/>
      <c r="D52" s="112"/>
      <c r="E52" s="113"/>
      <c r="F52" s="112"/>
      <c r="G52" s="113">
        <f t="shared" si="6"/>
        <v>0</v>
      </c>
      <c r="H52" s="104"/>
      <c r="I52" s="112"/>
      <c r="J52" s="112"/>
      <c r="K52" s="112"/>
      <c r="L52" s="113">
        <f t="shared" si="7"/>
        <v>0</v>
      </c>
      <c r="M52" s="64">
        <f t="shared" si="8"/>
        <v>0</v>
      </c>
      <c r="N52" s="111">
        <f t="shared" si="9"/>
        <v>0</v>
      </c>
      <c r="O52" s="113">
        <f t="shared" si="10"/>
        <v>0</v>
      </c>
      <c r="P52" s="65">
        <f t="shared" si="5"/>
        <v>2</v>
      </c>
    </row>
    <row r="53" spans="1:17" ht="15" x14ac:dyDescent="0.2">
      <c r="A53" s="58">
        <v>49</v>
      </c>
      <c r="B53" s="105"/>
      <c r="C53" s="111"/>
      <c r="D53" s="112"/>
      <c r="E53" s="113"/>
      <c r="F53" s="112"/>
      <c r="G53" s="113">
        <f t="shared" si="6"/>
        <v>0</v>
      </c>
      <c r="H53" s="104"/>
      <c r="I53" s="112"/>
      <c r="J53" s="112"/>
      <c r="K53" s="112"/>
      <c r="L53" s="113">
        <f t="shared" si="7"/>
        <v>0</v>
      </c>
      <c r="M53" s="64">
        <f t="shared" si="8"/>
        <v>0</v>
      </c>
      <c r="N53" s="111">
        <f t="shared" si="9"/>
        <v>0</v>
      </c>
      <c r="O53" s="113">
        <f t="shared" si="10"/>
        <v>0</v>
      </c>
      <c r="P53" s="65">
        <f t="shared" si="5"/>
        <v>2</v>
      </c>
    </row>
    <row r="54" spans="1:17" ht="15" x14ac:dyDescent="0.2">
      <c r="A54" s="58">
        <v>50</v>
      </c>
      <c r="B54" s="105"/>
      <c r="C54" s="111"/>
      <c r="D54" s="112"/>
      <c r="E54" s="113"/>
      <c r="F54" s="112"/>
      <c r="G54" s="113">
        <f t="shared" si="6"/>
        <v>0</v>
      </c>
      <c r="H54" s="104"/>
      <c r="I54" s="112"/>
      <c r="J54" s="112"/>
      <c r="K54" s="112"/>
      <c r="L54" s="113">
        <f t="shared" si="7"/>
        <v>0</v>
      </c>
      <c r="M54" s="64">
        <f t="shared" si="8"/>
        <v>0</v>
      </c>
      <c r="N54" s="111">
        <f t="shared" si="9"/>
        <v>0</v>
      </c>
      <c r="O54" s="113">
        <f t="shared" si="10"/>
        <v>0</v>
      </c>
      <c r="P54" s="65">
        <f t="shared" si="5"/>
        <v>2</v>
      </c>
    </row>
    <row r="55" spans="1:17" ht="15" x14ac:dyDescent="0.2">
      <c r="A55" s="58">
        <v>51</v>
      </c>
      <c r="B55" s="105"/>
      <c r="C55" s="111"/>
      <c r="D55" s="112"/>
      <c r="E55" s="113"/>
      <c r="F55" s="112"/>
      <c r="G55" s="113">
        <f t="shared" si="6"/>
        <v>0</v>
      </c>
      <c r="H55" s="104"/>
      <c r="I55" s="112"/>
      <c r="J55" s="112"/>
      <c r="K55" s="112"/>
      <c r="L55" s="113">
        <f t="shared" si="7"/>
        <v>0</v>
      </c>
      <c r="M55" s="64">
        <f t="shared" si="8"/>
        <v>0</v>
      </c>
      <c r="N55" s="111">
        <f t="shared" si="9"/>
        <v>0</v>
      </c>
      <c r="O55" s="113">
        <f t="shared" si="10"/>
        <v>0</v>
      </c>
      <c r="P55" s="65">
        <f t="shared" si="5"/>
        <v>2</v>
      </c>
    </row>
    <row r="56" spans="1:17" ht="15" x14ac:dyDescent="0.2">
      <c r="A56" s="58"/>
      <c r="B56" s="105"/>
      <c r="C56" s="54"/>
      <c r="D56" s="53"/>
      <c r="E56" s="52"/>
      <c r="F56" s="53"/>
      <c r="G56" s="52"/>
      <c r="H56" s="54"/>
      <c r="I56" s="53"/>
      <c r="J56" s="53"/>
      <c r="K56" s="53"/>
      <c r="L56" s="52"/>
      <c r="M56" s="52"/>
      <c r="N56" s="54"/>
      <c r="O56" s="52"/>
      <c r="P56" s="53"/>
    </row>
    <row r="57" spans="1:17" s="81" customFormat="1" ht="15.75" x14ac:dyDescent="0.2">
      <c r="A57" s="84"/>
      <c r="B57" s="2"/>
      <c r="C57" s="35"/>
      <c r="D57" s="36"/>
      <c r="E57" s="36"/>
      <c r="F57" s="36"/>
      <c r="G57" s="37"/>
      <c r="H57" s="35"/>
      <c r="I57" s="36"/>
      <c r="J57" s="36"/>
      <c r="K57" s="36"/>
      <c r="L57" s="37"/>
      <c r="M57" s="35"/>
      <c r="N57" s="38"/>
      <c r="O57" s="39"/>
      <c r="P57" s="85"/>
      <c r="Q57" s="82"/>
    </row>
    <row r="58" spans="1:17" s="81" customFormat="1" ht="33.75" customHeight="1" x14ac:dyDescent="0.25">
      <c r="A58" s="175" t="s">
        <v>88</v>
      </c>
      <c r="B58" s="175"/>
      <c r="C58" s="114">
        <f>COUNT(Table510[Number of Fish])</f>
        <v>0</v>
      </c>
      <c r="D58" s="114"/>
      <c r="E58" s="114"/>
      <c r="F58" s="114"/>
      <c r="G58" s="115"/>
      <c r="H58" s="114">
        <f>COUNT(Table510[Number of Fish2])</f>
        <v>0</v>
      </c>
      <c r="I58" s="114"/>
      <c r="J58" s="114"/>
      <c r="K58" s="114"/>
      <c r="L58" s="115"/>
      <c r="M58" s="115"/>
      <c r="N58" s="114">
        <f>COUNT(Table510[FISH COUNT])</f>
        <v>51</v>
      </c>
      <c r="O58" s="66"/>
      <c r="P58" s="67"/>
    </row>
    <row r="59" spans="1:17" s="81" customFormat="1" ht="15.75" x14ac:dyDescent="0.25">
      <c r="A59" s="182" t="s">
        <v>89</v>
      </c>
      <c r="B59" s="182"/>
      <c r="C59" s="114">
        <f>SUM(Table510[Number of Fish])</f>
        <v>0</v>
      </c>
      <c r="D59" s="116"/>
      <c r="E59" s="116"/>
      <c r="F59" s="116"/>
      <c r="G59" s="115"/>
      <c r="H59" s="114">
        <f>SUM(Table510[Number of Fish2])</f>
        <v>0</v>
      </c>
      <c r="I59" s="116"/>
      <c r="J59" s="116"/>
      <c r="K59" s="116"/>
      <c r="L59" s="115"/>
      <c r="M59" s="115"/>
      <c r="N59" s="116">
        <f>SUM(Table510[FISH COUNT])</f>
        <v>0</v>
      </c>
      <c r="O59" s="66"/>
      <c r="P59" s="67"/>
    </row>
    <row r="60" spans="1:17" s="81" customFormat="1" ht="15.75" x14ac:dyDescent="0.25">
      <c r="A60" s="175" t="s">
        <v>90</v>
      </c>
      <c r="B60" s="175"/>
      <c r="C60" s="117">
        <f>SUM(E5:E55)</f>
        <v>0</v>
      </c>
      <c r="D60" s="117"/>
      <c r="E60" s="117"/>
      <c r="F60" s="117"/>
      <c r="G60" s="115"/>
      <c r="H60" s="117">
        <f>SUM(J5:J55)</f>
        <v>0</v>
      </c>
      <c r="I60" s="117"/>
      <c r="J60" s="117"/>
      <c r="K60" s="117"/>
      <c r="L60" s="115"/>
      <c r="M60" s="115"/>
      <c r="N60" s="117">
        <f>SUM(O5:O34)</f>
        <v>0</v>
      </c>
      <c r="O60" s="66"/>
      <c r="P60" s="67"/>
    </row>
    <row r="61" spans="1:17" ht="15.75" x14ac:dyDescent="0.25">
      <c r="A61" s="175" t="s">
        <v>91</v>
      </c>
      <c r="B61" s="175"/>
      <c r="C61" s="117" t="e">
        <f>C60/C59</f>
        <v>#DIV/0!</v>
      </c>
      <c r="D61" s="117"/>
      <c r="E61" s="117"/>
      <c r="F61" s="117"/>
      <c r="G61" s="118"/>
      <c r="H61" s="117" t="e">
        <f>H60/H59</f>
        <v>#DIV/0!</v>
      </c>
      <c r="I61" s="117"/>
      <c r="J61" s="117"/>
      <c r="K61" s="117"/>
      <c r="L61" s="118"/>
      <c r="M61" s="118"/>
      <c r="N61" s="117" t="e">
        <f>N60/N59</f>
        <v>#DIV/0!</v>
      </c>
      <c r="O61" s="66"/>
      <c r="P61" s="67"/>
    </row>
    <row r="62" spans="1:17" ht="15.75" x14ac:dyDescent="0.25">
      <c r="A62" s="175" t="s">
        <v>92</v>
      </c>
      <c r="B62" s="175"/>
      <c r="C62" s="117" t="e">
        <f>C59/C58</f>
        <v>#DIV/0!</v>
      </c>
      <c r="D62" s="117"/>
      <c r="E62" s="117"/>
      <c r="F62" s="117"/>
      <c r="G62" s="118"/>
      <c r="H62" s="117" t="e">
        <f>H59/H58</f>
        <v>#DIV/0!</v>
      </c>
      <c r="I62" s="117"/>
      <c r="J62" s="117"/>
      <c r="K62" s="117"/>
      <c r="L62" s="118"/>
      <c r="M62" s="118"/>
      <c r="N62" s="117">
        <f>N59/N58</f>
        <v>0</v>
      </c>
      <c r="O62" s="66"/>
      <c r="P62" s="67"/>
    </row>
  </sheetData>
  <mergeCells count="8">
    <mergeCell ref="A61:B61"/>
    <mergeCell ref="A62:B62"/>
    <mergeCell ref="A1:P1"/>
    <mergeCell ref="A2:P2"/>
    <mergeCell ref="M3:O3"/>
    <mergeCell ref="A58:B58"/>
    <mergeCell ref="A59:B59"/>
    <mergeCell ref="A60:B60"/>
  </mergeCells>
  <printOptions horizontalCentered="1" verticalCentered="1"/>
  <pageMargins left="0.25" right="0.25" top="0.25" bottom="0.25" header="0.3" footer="0.3"/>
  <pageSetup scale="83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62"/>
  <sheetViews>
    <sheetView topLeftCell="B1" zoomScale="70" zoomScaleNormal="70" workbookViewId="0">
      <selection activeCell="C37" sqref="C37"/>
    </sheetView>
  </sheetViews>
  <sheetFormatPr defaultColWidth="9.140625" defaultRowHeight="15.75" x14ac:dyDescent="0.25"/>
  <cols>
    <col min="1" max="1" width="12.85546875" style="5" customWidth="1"/>
    <col min="2" max="2" width="31.85546875" style="1" customWidth="1"/>
    <col min="3" max="3" width="24.85546875" style="57" bestFit="1" customWidth="1"/>
    <col min="4" max="4" width="15.140625" style="57" bestFit="1" customWidth="1"/>
    <col min="5" max="5" width="16.140625" style="1" bestFit="1" customWidth="1"/>
    <col min="6" max="6" width="21.28515625" style="1" bestFit="1" customWidth="1"/>
    <col min="7" max="7" width="19.5703125" style="1" bestFit="1" customWidth="1"/>
    <col min="8" max="8" width="20.42578125" style="1" bestFit="1" customWidth="1"/>
    <col min="9" max="16384" width="9.140625" style="2"/>
  </cols>
  <sheetData>
    <row r="1" spans="1:8" ht="31.5" x14ac:dyDescent="0.6">
      <c r="A1" s="161" t="s">
        <v>186</v>
      </c>
      <c r="B1" s="161"/>
      <c r="C1" s="161"/>
      <c r="D1" s="161"/>
      <c r="E1" s="161"/>
      <c r="F1" s="161"/>
      <c r="G1" s="161"/>
      <c r="H1" s="161"/>
    </row>
    <row r="2" spans="1:8" ht="20.25" x14ac:dyDescent="0.3">
      <c r="A2" s="162" t="s">
        <v>259</v>
      </c>
      <c r="B2" s="162"/>
      <c r="C2" s="162"/>
      <c r="D2" s="162"/>
      <c r="E2" s="162"/>
      <c r="F2" s="162"/>
      <c r="G2" s="162"/>
      <c r="H2" s="162"/>
    </row>
    <row r="3" spans="1:8" s="86" customFormat="1" x14ac:dyDescent="0.25">
      <c r="A3" s="87" t="s">
        <v>183</v>
      </c>
      <c r="B3" s="95" t="s">
        <v>22</v>
      </c>
      <c r="C3" s="96" t="s">
        <v>213</v>
      </c>
      <c r="D3" s="97" t="s">
        <v>181</v>
      </c>
      <c r="E3" s="97" t="s">
        <v>214</v>
      </c>
      <c r="F3" s="97" t="s">
        <v>179</v>
      </c>
      <c r="G3" s="97" t="s">
        <v>215</v>
      </c>
      <c r="H3" s="98" t="s">
        <v>216</v>
      </c>
    </row>
    <row r="4" spans="1:8" ht="15" x14ac:dyDescent="0.2">
      <c r="A4" s="88">
        <v>1</v>
      </c>
      <c r="B4" s="30" t="s">
        <v>32</v>
      </c>
      <c r="C4" s="107">
        <v>5</v>
      </c>
      <c r="D4" s="110">
        <v>3.76</v>
      </c>
      <c r="E4" s="110">
        <v>14.1</v>
      </c>
      <c r="F4" s="110"/>
      <c r="G4" s="110">
        <f t="shared" ref="G4:G37" si="0">E4-F4</f>
        <v>14.1</v>
      </c>
      <c r="H4" s="28">
        <f t="shared" ref="H4:H37" si="1">IF(A4&lt;31,33-A4,2)</f>
        <v>32</v>
      </c>
    </row>
    <row r="5" spans="1:8" ht="15" x14ac:dyDescent="0.2">
      <c r="A5" s="91">
        <v>2</v>
      </c>
      <c r="B5" s="107" t="s">
        <v>269</v>
      </c>
      <c r="C5" s="107">
        <v>5</v>
      </c>
      <c r="D5" s="110">
        <v>3.21</v>
      </c>
      <c r="E5" s="110">
        <v>12.42</v>
      </c>
      <c r="F5" s="110"/>
      <c r="G5" s="110">
        <f t="shared" si="0"/>
        <v>12.42</v>
      </c>
      <c r="H5" s="107">
        <f t="shared" si="1"/>
        <v>31</v>
      </c>
    </row>
    <row r="6" spans="1:8" ht="15" x14ac:dyDescent="0.2">
      <c r="A6" s="88">
        <v>3</v>
      </c>
      <c r="B6" s="107" t="s">
        <v>33</v>
      </c>
      <c r="C6" s="107">
        <v>5</v>
      </c>
      <c r="D6" s="110">
        <v>3.88</v>
      </c>
      <c r="E6" s="110">
        <v>12.11</v>
      </c>
      <c r="F6" s="110"/>
      <c r="G6" s="110">
        <f t="shared" si="0"/>
        <v>12.11</v>
      </c>
      <c r="H6" s="129">
        <f t="shared" si="1"/>
        <v>30</v>
      </c>
    </row>
    <row r="7" spans="1:8" ht="15" x14ac:dyDescent="0.2">
      <c r="A7" s="91">
        <v>4</v>
      </c>
      <c r="B7" s="107" t="s">
        <v>35</v>
      </c>
      <c r="C7" s="107">
        <v>4</v>
      </c>
      <c r="D7" s="110">
        <v>6.12</v>
      </c>
      <c r="E7" s="110">
        <v>11.88</v>
      </c>
      <c r="F7" s="110"/>
      <c r="G7" s="110">
        <f t="shared" si="0"/>
        <v>11.88</v>
      </c>
      <c r="H7" s="107">
        <f t="shared" si="1"/>
        <v>29</v>
      </c>
    </row>
    <row r="8" spans="1:8" ht="15" x14ac:dyDescent="0.2">
      <c r="A8" s="88">
        <v>5</v>
      </c>
      <c r="B8" s="107" t="s">
        <v>145</v>
      </c>
      <c r="C8" s="107">
        <v>5</v>
      </c>
      <c r="D8" s="110">
        <v>3.08</v>
      </c>
      <c r="E8" s="110">
        <v>11.49</v>
      </c>
      <c r="F8" s="110"/>
      <c r="G8" s="110">
        <f t="shared" si="0"/>
        <v>11.49</v>
      </c>
      <c r="H8" s="28">
        <f t="shared" si="1"/>
        <v>28</v>
      </c>
    </row>
    <row r="9" spans="1:8" ht="15" x14ac:dyDescent="0.2">
      <c r="A9" s="91">
        <v>6</v>
      </c>
      <c r="B9" s="107" t="s">
        <v>105</v>
      </c>
      <c r="C9" s="107">
        <v>5</v>
      </c>
      <c r="D9" s="110">
        <v>2.96</v>
      </c>
      <c r="E9" s="110">
        <v>11.2</v>
      </c>
      <c r="F9" s="110"/>
      <c r="G9" s="110">
        <f t="shared" si="0"/>
        <v>11.2</v>
      </c>
      <c r="H9" s="107">
        <f t="shared" si="1"/>
        <v>27</v>
      </c>
    </row>
    <row r="10" spans="1:8" ht="15" x14ac:dyDescent="0.2">
      <c r="A10" s="88">
        <v>7</v>
      </c>
      <c r="B10" s="107" t="s">
        <v>191</v>
      </c>
      <c r="C10" s="107">
        <v>5</v>
      </c>
      <c r="D10" s="110">
        <v>3.98</v>
      </c>
      <c r="E10" s="110">
        <v>10.96</v>
      </c>
      <c r="F10" s="110"/>
      <c r="G10" s="110">
        <f t="shared" si="0"/>
        <v>10.96</v>
      </c>
      <c r="H10" s="129">
        <f t="shared" si="1"/>
        <v>26</v>
      </c>
    </row>
    <row r="11" spans="1:8" ht="15" x14ac:dyDescent="0.2">
      <c r="A11" s="91">
        <v>8</v>
      </c>
      <c r="B11" s="107" t="s">
        <v>236</v>
      </c>
      <c r="C11" s="107">
        <v>5</v>
      </c>
      <c r="D11" s="110">
        <v>2.72</v>
      </c>
      <c r="E11" s="110">
        <v>10.48</v>
      </c>
      <c r="F11" s="110"/>
      <c r="G11" s="110">
        <f t="shared" si="0"/>
        <v>10.48</v>
      </c>
      <c r="H11" s="107">
        <f t="shared" si="1"/>
        <v>25</v>
      </c>
    </row>
    <row r="12" spans="1:8" ht="15" x14ac:dyDescent="0.2">
      <c r="A12" s="88">
        <v>9</v>
      </c>
      <c r="B12" s="107" t="s">
        <v>255</v>
      </c>
      <c r="C12" s="107">
        <v>5</v>
      </c>
      <c r="D12" s="110">
        <v>3.05</v>
      </c>
      <c r="E12" s="110">
        <v>10.16</v>
      </c>
      <c r="F12" s="110"/>
      <c r="G12" s="110">
        <f t="shared" si="0"/>
        <v>10.16</v>
      </c>
      <c r="H12" s="28">
        <f t="shared" si="1"/>
        <v>24</v>
      </c>
    </row>
    <row r="13" spans="1:8" ht="15" x14ac:dyDescent="0.2">
      <c r="A13" s="91">
        <v>10</v>
      </c>
      <c r="B13" s="107" t="s">
        <v>170</v>
      </c>
      <c r="C13" s="107">
        <v>5</v>
      </c>
      <c r="D13" s="110">
        <v>3.47</v>
      </c>
      <c r="E13" s="110">
        <v>9.94</v>
      </c>
      <c r="F13" s="110"/>
      <c r="G13" s="110">
        <f t="shared" si="0"/>
        <v>9.94</v>
      </c>
      <c r="H13" s="107">
        <f t="shared" si="1"/>
        <v>23</v>
      </c>
    </row>
    <row r="14" spans="1:8" ht="15" x14ac:dyDescent="0.2">
      <c r="A14" s="88">
        <v>11</v>
      </c>
      <c r="B14" s="107" t="s">
        <v>175</v>
      </c>
      <c r="C14" s="107">
        <v>5</v>
      </c>
      <c r="D14" s="110">
        <v>2.65</v>
      </c>
      <c r="E14" s="110">
        <v>9.6999999999999993</v>
      </c>
      <c r="F14" s="110"/>
      <c r="G14" s="110">
        <f t="shared" si="0"/>
        <v>9.6999999999999993</v>
      </c>
      <c r="H14" s="129">
        <f t="shared" si="1"/>
        <v>22</v>
      </c>
    </row>
    <row r="15" spans="1:8" ht="15" x14ac:dyDescent="0.2">
      <c r="A15" s="91">
        <v>12</v>
      </c>
      <c r="B15" s="107" t="s">
        <v>234</v>
      </c>
      <c r="C15" s="107">
        <v>3</v>
      </c>
      <c r="D15" s="110">
        <v>5.15</v>
      </c>
      <c r="E15" s="110">
        <v>9.0500000000000007</v>
      </c>
      <c r="F15" s="110"/>
      <c r="G15" s="110">
        <f t="shared" si="0"/>
        <v>9.0500000000000007</v>
      </c>
      <c r="H15" s="107">
        <f t="shared" si="1"/>
        <v>21</v>
      </c>
    </row>
    <row r="16" spans="1:8" ht="15" x14ac:dyDescent="0.2">
      <c r="A16" s="88">
        <v>13</v>
      </c>
      <c r="B16" s="107" t="s">
        <v>84</v>
      </c>
      <c r="C16" s="107">
        <v>5</v>
      </c>
      <c r="D16" s="110">
        <v>2.2799999999999998</v>
      </c>
      <c r="E16" s="110">
        <v>9.01</v>
      </c>
      <c r="F16" s="110"/>
      <c r="G16" s="110">
        <f t="shared" si="0"/>
        <v>9.01</v>
      </c>
      <c r="H16" s="129">
        <f t="shared" si="1"/>
        <v>20</v>
      </c>
    </row>
    <row r="17" spans="1:8" ht="15" x14ac:dyDescent="0.2">
      <c r="A17" s="91">
        <v>14</v>
      </c>
      <c r="B17" s="107" t="s">
        <v>102</v>
      </c>
      <c r="C17" s="107">
        <v>5</v>
      </c>
      <c r="D17" s="110">
        <v>2.35</v>
      </c>
      <c r="E17" s="110">
        <v>8.32</v>
      </c>
      <c r="F17" s="110"/>
      <c r="G17" s="110">
        <f t="shared" si="0"/>
        <v>8.32</v>
      </c>
      <c r="H17" s="107">
        <f t="shared" si="1"/>
        <v>19</v>
      </c>
    </row>
    <row r="18" spans="1:8" ht="15" x14ac:dyDescent="0.2">
      <c r="A18" s="88">
        <v>15</v>
      </c>
      <c r="B18" s="107" t="s">
        <v>103</v>
      </c>
      <c r="C18" s="107">
        <v>4</v>
      </c>
      <c r="D18" s="110">
        <v>2.5299999999999998</v>
      </c>
      <c r="E18" s="110">
        <v>7</v>
      </c>
      <c r="F18" s="110"/>
      <c r="G18" s="110">
        <f t="shared" si="0"/>
        <v>7</v>
      </c>
      <c r="H18" s="129">
        <f t="shared" si="1"/>
        <v>18</v>
      </c>
    </row>
    <row r="19" spans="1:8" ht="15" x14ac:dyDescent="0.2">
      <c r="A19" s="91">
        <v>16</v>
      </c>
      <c r="B19" s="107" t="s">
        <v>49</v>
      </c>
      <c r="C19" s="107">
        <v>4</v>
      </c>
      <c r="D19" s="110">
        <v>2.34</v>
      </c>
      <c r="E19" s="110">
        <v>6.76</v>
      </c>
      <c r="F19" s="110"/>
      <c r="G19" s="110">
        <f t="shared" si="0"/>
        <v>6.76</v>
      </c>
      <c r="H19" s="107">
        <f t="shared" si="1"/>
        <v>17</v>
      </c>
    </row>
    <row r="20" spans="1:8" ht="15" x14ac:dyDescent="0.2">
      <c r="A20" s="88">
        <v>17</v>
      </c>
      <c r="B20" s="107" t="s">
        <v>53</v>
      </c>
      <c r="C20" s="107">
        <v>4</v>
      </c>
      <c r="D20" s="110">
        <v>0</v>
      </c>
      <c r="E20" s="110">
        <v>6.48</v>
      </c>
      <c r="F20" s="110"/>
      <c r="G20" s="110">
        <f t="shared" si="0"/>
        <v>6.48</v>
      </c>
      <c r="H20" s="28">
        <f t="shared" si="1"/>
        <v>16</v>
      </c>
    </row>
    <row r="21" spans="1:8" ht="15" x14ac:dyDescent="0.2">
      <c r="A21" s="91">
        <v>18</v>
      </c>
      <c r="B21" s="107" t="s">
        <v>177</v>
      </c>
      <c r="C21" s="107">
        <v>3</v>
      </c>
      <c r="D21" s="110">
        <v>2.67</v>
      </c>
      <c r="E21" s="110">
        <v>6.25</v>
      </c>
      <c r="F21" s="110"/>
      <c r="G21" s="110">
        <f t="shared" si="0"/>
        <v>6.25</v>
      </c>
      <c r="H21" s="107">
        <f t="shared" si="1"/>
        <v>15</v>
      </c>
    </row>
    <row r="22" spans="1:8" ht="15" x14ac:dyDescent="0.2">
      <c r="A22" s="88">
        <v>19</v>
      </c>
      <c r="B22" s="107" t="s">
        <v>104</v>
      </c>
      <c r="C22" s="107">
        <v>3</v>
      </c>
      <c r="D22" s="110">
        <v>2.15</v>
      </c>
      <c r="E22" s="110">
        <v>6.19</v>
      </c>
      <c r="F22" s="110"/>
      <c r="G22" s="110">
        <f t="shared" si="0"/>
        <v>6.19</v>
      </c>
      <c r="H22" s="129">
        <f t="shared" si="1"/>
        <v>14</v>
      </c>
    </row>
    <row r="23" spans="1:8" ht="15" x14ac:dyDescent="0.2">
      <c r="A23" s="91">
        <v>20</v>
      </c>
      <c r="B23" s="107" t="s">
        <v>54</v>
      </c>
      <c r="C23" s="107">
        <v>4</v>
      </c>
      <c r="D23" s="110">
        <v>1.59</v>
      </c>
      <c r="E23" s="110">
        <v>6.07</v>
      </c>
      <c r="F23" s="110"/>
      <c r="G23" s="110">
        <f t="shared" si="0"/>
        <v>6.07</v>
      </c>
      <c r="H23" s="107">
        <f t="shared" si="1"/>
        <v>13</v>
      </c>
    </row>
    <row r="24" spans="1:8" ht="15" x14ac:dyDescent="0.2">
      <c r="A24" s="88">
        <v>21</v>
      </c>
      <c r="B24" s="107" t="s">
        <v>56</v>
      </c>
      <c r="C24" s="107">
        <v>3</v>
      </c>
      <c r="D24" s="110">
        <v>2.8</v>
      </c>
      <c r="E24" s="110">
        <v>5.98</v>
      </c>
      <c r="F24" s="110"/>
      <c r="G24" s="110">
        <f t="shared" si="0"/>
        <v>5.98</v>
      </c>
      <c r="H24" s="28">
        <f t="shared" si="1"/>
        <v>12</v>
      </c>
    </row>
    <row r="25" spans="1:8" ht="15" x14ac:dyDescent="0.2">
      <c r="A25" s="91">
        <v>22</v>
      </c>
      <c r="B25" s="107" t="s">
        <v>268</v>
      </c>
      <c r="C25" s="107">
        <v>3</v>
      </c>
      <c r="D25" s="110">
        <v>1.95</v>
      </c>
      <c r="E25" s="110">
        <v>4.9400000000000004</v>
      </c>
      <c r="F25" s="110"/>
      <c r="G25" s="110">
        <f t="shared" si="0"/>
        <v>4.9400000000000004</v>
      </c>
      <c r="H25" s="107" t="s">
        <v>272</v>
      </c>
    </row>
    <row r="26" spans="1:8" ht="15" x14ac:dyDescent="0.2">
      <c r="A26" s="88">
        <v>23</v>
      </c>
      <c r="B26" s="107" t="s">
        <v>80</v>
      </c>
      <c r="C26" s="107">
        <v>3</v>
      </c>
      <c r="D26" s="110">
        <v>2.25</v>
      </c>
      <c r="E26" s="110">
        <v>4.71</v>
      </c>
      <c r="F26" s="110"/>
      <c r="G26" s="110">
        <f t="shared" si="0"/>
        <v>4.71</v>
      </c>
      <c r="H26" s="129">
        <v>11</v>
      </c>
    </row>
    <row r="27" spans="1:8" ht="15" x14ac:dyDescent="0.2">
      <c r="A27" s="91">
        <v>24</v>
      </c>
      <c r="B27" s="107" t="s">
        <v>241</v>
      </c>
      <c r="C27" s="107">
        <v>2</v>
      </c>
      <c r="D27" s="110">
        <v>2.38</v>
      </c>
      <c r="E27" s="110">
        <v>4.08</v>
      </c>
      <c r="F27" s="110"/>
      <c r="G27" s="110">
        <f t="shared" si="0"/>
        <v>4.08</v>
      </c>
      <c r="H27" s="107">
        <v>10</v>
      </c>
    </row>
    <row r="28" spans="1:8" ht="15" x14ac:dyDescent="0.2">
      <c r="A28" s="88">
        <v>25</v>
      </c>
      <c r="B28" s="107" t="s">
        <v>270</v>
      </c>
      <c r="C28" s="107">
        <v>2</v>
      </c>
      <c r="D28" s="110">
        <v>2.66</v>
      </c>
      <c r="E28" s="110">
        <v>4.0599999999999996</v>
      </c>
      <c r="F28" s="110"/>
      <c r="G28" s="110">
        <f t="shared" si="0"/>
        <v>4.0599999999999996</v>
      </c>
      <c r="H28" s="129">
        <v>9</v>
      </c>
    </row>
    <row r="29" spans="1:8" ht="15" x14ac:dyDescent="0.2">
      <c r="A29" s="91">
        <v>26</v>
      </c>
      <c r="B29" s="107" t="s">
        <v>31</v>
      </c>
      <c r="C29" s="107">
        <v>2</v>
      </c>
      <c r="D29" s="110">
        <v>2.2000000000000002</v>
      </c>
      <c r="E29" s="110">
        <v>3.91</v>
      </c>
      <c r="F29" s="110"/>
      <c r="G29" s="110">
        <f t="shared" si="0"/>
        <v>3.91</v>
      </c>
      <c r="H29" s="107">
        <v>8</v>
      </c>
    </row>
    <row r="30" spans="1:8" ht="15" x14ac:dyDescent="0.2">
      <c r="A30" s="88">
        <v>27</v>
      </c>
      <c r="B30" s="107" t="s">
        <v>48</v>
      </c>
      <c r="C30" s="107">
        <v>2</v>
      </c>
      <c r="D30" s="110">
        <v>2.02</v>
      </c>
      <c r="E30" s="110">
        <v>3.68</v>
      </c>
      <c r="F30" s="110"/>
      <c r="G30" s="110">
        <f t="shared" si="0"/>
        <v>3.68</v>
      </c>
      <c r="H30" s="129">
        <v>7</v>
      </c>
    </row>
    <row r="31" spans="1:8" ht="15" x14ac:dyDescent="0.2">
      <c r="A31" s="91">
        <v>28</v>
      </c>
      <c r="B31" s="107" t="s">
        <v>231</v>
      </c>
      <c r="C31" s="107">
        <v>2</v>
      </c>
      <c r="D31" s="110">
        <v>1.97</v>
      </c>
      <c r="E31" s="110">
        <v>3.09</v>
      </c>
      <c r="F31" s="110"/>
      <c r="G31" s="110">
        <f t="shared" si="0"/>
        <v>3.09</v>
      </c>
      <c r="H31" s="107">
        <v>6</v>
      </c>
    </row>
    <row r="32" spans="1:8" ht="15" x14ac:dyDescent="0.2">
      <c r="A32" s="88">
        <v>29</v>
      </c>
      <c r="B32" s="107" t="s">
        <v>36</v>
      </c>
      <c r="C32" s="107">
        <v>1</v>
      </c>
      <c r="D32" s="110">
        <v>1.98</v>
      </c>
      <c r="E32" s="110">
        <v>1.98</v>
      </c>
      <c r="F32" s="110"/>
      <c r="G32" s="110">
        <f t="shared" si="0"/>
        <v>1.98</v>
      </c>
      <c r="H32" s="129">
        <v>5</v>
      </c>
    </row>
    <row r="33" spans="1:8" ht="15" x14ac:dyDescent="0.2">
      <c r="A33" s="91">
        <v>30</v>
      </c>
      <c r="B33" s="107" t="s">
        <v>62</v>
      </c>
      <c r="C33" s="107">
        <v>0</v>
      </c>
      <c r="D33" s="110">
        <v>0</v>
      </c>
      <c r="E33" s="110">
        <v>0</v>
      </c>
      <c r="F33" s="110"/>
      <c r="G33" s="110">
        <f t="shared" si="0"/>
        <v>0</v>
      </c>
      <c r="H33" s="107">
        <v>2</v>
      </c>
    </row>
    <row r="34" spans="1:8" ht="15" x14ac:dyDescent="0.2">
      <c r="A34" s="88">
        <v>31</v>
      </c>
      <c r="B34" s="107" t="s">
        <v>148</v>
      </c>
      <c r="C34" s="107">
        <v>0</v>
      </c>
      <c r="D34" s="110">
        <v>0</v>
      </c>
      <c r="E34" s="110">
        <v>0</v>
      </c>
      <c r="F34" s="110"/>
      <c r="G34" s="110">
        <f t="shared" si="0"/>
        <v>0</v>
      </c>
      <c r="H34" s="129">
        <f t="shared" si="1"/>
        <v>2</v>
      </c>
    </row>
    <row r="35" spans="1:8" ht="15" x14ac:dyDescent="0.2">
      <c r="A35" s="91">
        <v>32</v>
      </c>
      <c r="B35" s="107"/>
      <c r="C35" s="107"/>
      <c r="D35" s="110"/>
      <c r="E35" s="110"/>
      <c r="F35" s="110"/>
      <c r="G35" s="110">
        <f t="shared" si="0"/>
        <v>0</v>
      </c>
      <c r="H35" s="107">
        <f t="shared" si="1"/>
        <v>2</v>
      </c>
    </row>
    <row r="36" spans="1:8" ht="15" x14ac:dyDescent="0.2">
      <c r="A36" s="88">
        <v>33</v>
      </c>
      <c r="B36" s="107"/>
      <c r="C36" s="107"/>
      <c r="D36" s="110"/>
      <c r="E36" s="110"/>
      <c r="F36" s="110"/>
      <c r="G36" s="110">
        <f t="shared" si="0"/>
        <v>0</v>
      </c>
      <c r="H36" s="28">
        <f t="shared" si="1"/>
        <v>2</v>
      </c>
    </row>
    <row r="37" spans="1:8" ht="15" x14ac:dyDescent="0.2">
      <c r="A37" s="91">
        <v>34</v>
      </c>
      <c r="B37" s="107"/>
      <c r="C37" s="107"/>
      <c r="D37" s="110"/>
      <c r="E37" s="110"/>
      <c r="F37" s="110"/>
      <c r="G37" s="110">
        <f t="shared" si="0"/>
        <v>0</v>
      </c>
      <c r="H37" s="107">
        <f t="shared" si="1"/>
        <v>2</v>
      </c>
    </row>
    <row r="38" spans="1:8" ht="15" x14ac:dyDescent="0.2">
      <c r="A38" s="88">
        <v>35</v>
      </c>
      <c r="B38" s="134"/>
      <c r="C38" s="134"/>
      <c r="D38" s="135"/>
      <c r="E38" s="135"/>
      <c r="F38" s="135"/>
      <c r="G38" s="135">
        <f t="shared" ref="G38:G55" si="2">E38-F38</f>
        <v>0</v>
      </c>
      <c r="H38" s="134">
        <f t="shared" ref="H38:H55" si="3">IF(A38&lt;31,33-A38,2)</f>
        <v>2</v>
      </c>
    </row>
    <row r="39" spans="1:8" ht="15" x14ac:dyDescent="0.2">
      <c r="A39" s="91">
        <v>36</v>
      </c>
      <c r="B39" s="134"/>
      <c r="C39" s="134"/>
      <c r="D39" s="135"/>
      <c r="E39" s="135"/>
      <c r="F39" s="135"/>
      <c r="G39" s="135">
        <f t="shared" si="2"/>
        <v>0</v>
      </c>
      <c r="H39" s="134">
        <f t="shared" si="3"/>
        <v>2</v>
      </c>
    </row>
    <row r="40" spans="1:8" ht="15" x14ac:dyDescent="0.2">
      <c r="A40" s="88">
        <v>37</v>
      </c>
      <c r="B40" s="134"/>
      <c r="C40" s="134"/>
      <c r="D40" s="135"/>
      <c r="E40" s="135"/>
      <c r="F40" s="135"/>
      <c r="G40" s="135">
        <f t="shared" si="2"/>
        <v>0</v>
      </c>
      <c r="H40" s="134">
        <f t="shared" si="3"/>
        <v>2</v>
      </c>
    </row>
    <row r="41" spans="1:8" ht="15" x14ac:dyDescent="0.2">
      <c r="A41" s="91">
        <v>38</v>
      </c>
      <c r="B41" s="134"/>
      <c r="C41" s="134"/>
      <c r="D41" s="135"/>
      <c r="E41" s="135"/>
      <c r="F41" s="135"/>
      <c r="G41" s="135">
        <f t="shared" si="2"/>
        <v>0</v>
      </c>
      <c r="H41" s="134">
        <f t="shared" si="3"/>
        <v>2</v>
      </c>
    </row>
    <row r="42" spans="1:8" ht="15" x14ac:dyDescent="0.2">
      <c r="A42" s="88">
        <v>39</v>
      </c>
      <c r="B42" s="134"/>
      <c r="C42" s="134"/>
      <c r="D42" s="135"/>
      <c r="E42" s="135"/>
      <c r="F42" s="135"/>
      <c r="G42" s="135">
        <f t="shared" si="2"/>
        <v>0</v>
      </c>
      <c r="H42" s="134">
        <f t="shared" si="3"/>
        <v>2</v>
      </c>
    </row>
    <row r="43" spans="1:8" ht="15" x14ac:dyDescent="0.2">
      <c r="A43" s="91">
        <v>40</v>
      </c>
      <c r="B43" s="134"/>
      <c r="C43" s="134"/>
      <c r="D43" s="135"/>
      <c r="E43" s="135"/>
      <c r="F43" s="135"/>
      <c r="G43" s="135">
        <f t="shared" si="2"/>
        <v>0</v>
      </c>
      <c r="H43" s="134">
        <f t="shared" si="3"/>
        <v>2</v>
      </c>
    </row>
    <row r="44" spans="1:8" ht="15" x14ac:dyDescent="0.2">
      <c r="A44" s="88">
        <v>41</v>
      </c>
      <c r="B44" s="134"/>
      <c r="C44" s="134"/>
      <c r="D44" s="135"/>
      <c r="E44" s="135"/>
      <c r="F44" s="135"/>
      <c r="G44" s="135">
        <f t="shared" si="2"/>
        <v>0</v>
      </c>
      <c r="H44" s="134">
        <f t="shared" si="3"/>
        <v>2</v>
      </c>
    </row>
    <row r="45" spans="1:8" ht="15" x14ac:dyDescent="0.2">
      <c r="A45" s="91">
        <v>42</v>
      </c>
      <c r="B45" s="134"/>
      <c r="C45" s="134"/>
      <c r="D45" s="135"/>
      <c r="E45" s="135"/>
      <c r="F45" s="135"/>
      <c r="G45" s="135">
        <f t="shared" si="2"/>
        <v>0</v>
      </c>
      <c r="H45" s="134">
        <f t="shared" si="3"/>
        <v>2</v>
      </c>
    </row>
    <row r="46" spans="1:8" ht="15" x14ac:dyDescent="0.2">
      <c r="A46" s="88">
        <v>43</v>
      </c>
      <c r="B46" s="134"/>
      <c r="C46" s="134"/>
      <c r="D46" s="135"/>
      <c r="E46" s="135"/>
      <c r="F46" s="135"/>
      <c r="G46" s="135">
        <f t="shared" si="2"/>
        <v>0</v>
      </c>
      <c r="H46" s="134">
        <f t="shared" si="3"/>
        <v>2</v>
      </c>
    </row>
    <row r="47" spans="1:8" ht="15" x14ac:dyDescent="0.2">
      <c r="A47" s="91">
        <v>44</v>
      </c>
      <c r="B47" s="134"/>
      <c r="C47" s="134"/>
      <c r="D47" s="135"/>
      <c r="E47" s="135"/>
      <c r="F47" s="135"/>
      <c r="G47" s="135">
        <f t="shared" ref="G47:G54" si="4">E47-F47</f>
        <v>0</v>
      </c>
      <c r="H47" s="134">
        <f t="shared" ref="H47:H54" si="5">IF(A47&lt;31,33-A47,2)</f>
        <v>2</v>
      </c>
    </row>
    <row r="48" spans="1:8" ht="15" x14ac:dyDescent="0.2">
      <c r="A48" s="88">
        <v>45</v>
      </c>
      <c r="B48" s="134"/>
      <c r="C48" s="134"/>
      <c r="D48" s="135"/>
      <c r="E48" s="135"/>
      <c r="F48" s="135"/>
      <c r="G48" s="135">
        <f t="shared" si="4"/>
        <v>0</v>
      </c>
      <c r="H48" s="134">
        <f t="shared" si="5"/>
        <v>2</v>
      </c>
    </row>
    <row r="49" spans="1:8" ht="15" x14ac:dyDescent="0.2">
      <c r="A49" s="91">
        <v>46</v>
      </c>
      <c r="B49" s="134"/>
      <c r="C49" s="134"/>
      <c r="D49" s="135"/>
      <c r="E49" s="135"/>
      <c r="F49" s="135"/>
      <c r="G49" s="135">
        <f t="shared" si="4"/>
        <v>0</v>
      </c>
      <c r="H49" s="134">
        <f t="shared" si="5"/>
        <v>2</v>
      </c>
    </row>
    <row r="50" spans="1:8" ht="15" x14ac:dyDescent="0.2">
      <c r="A50" s="88">
        <v>47</v>
      </c>
      <c r="B50" s="134"/>
      <c r="C50" s="134"/>
      <c r="D50" s="135"/>
      <c r="E50" s="135"/>
      <c r="F50" s="135"/>
      <c r="G50" s="135">
        <f t="shared" si="4"/>
        <v>0</v>
      </c>
      <c r="H50" s="134">
        <f t="shared" si="5"/>
        <v>2</v>
      </c>
    </row>
    <row r="51" spans="1:8" ht="15" x14ac:dyDescent="0.2">
      <c r="A51" s="91">
        <v>48</v>
      </c>
      <c r="B51" s="134"/>
      <c r="C51" s="134"/>
      <c r="D51" s="135"/>
      <c r="E51" s="135"/>
      <c r="F51" s="135"/>
      <c r="G51" s="135">
        <f t="shared" si="4"/>
        <v>0</v>
      </c>
      <c r="H51" s="134">
        <f t="shared" si="5"/>
        <v>2</v>
      </c>
    </row>
    <row r="52" spans="1:8" ht="15" x14ac:dyDescent="0.2">
      <c r="A52" s="88">
        <v>49</v>
      </c>
      <c r="B52" s="134"/>
      <c r="C52" s="134"/>
      <c r="D52" s="135"/>
      <c r="E52" s="135"/>
      <c r="F52" s="135"/>
      <c r="G52" s="135">
        <f t="shared" si="4"/>
        <v>0</v>
      </c>
      <c r="H52" s="134">
        <f t="shared" si="5"/>
        <v>2</v>
      </c>
    </row>
    <row r="53" spans="1:8" ht="15" x14ac:dyDescent="0.2">
      <c r="A53" s="91">
        <v>50</v>
      </c>
      <c r="B53" s="134"/>
      <c r="C53" s="134"/>
      <c r="D53" s="135"/>
      <c r="E53" s="135"/>
      <c r="F53" s="135"/>
      <c r="G53" s="135">
        <f t="shared" si="4"/>
        <v>0</v>
      </c>
      <c r="H53" s="134">
        <f t="shared" si="5"/>
        <v>2</v>
      </c>
    </row>
    <row r="54" spans="1:8" ht="15" x14ac:dyDescent="0.2">
      <c r="A54" s="88">
        <v>51</v>
      </c>
      <c r="B54" s="134"/>
      <c r="C54" s="134"/>
      <c r="D54" s="135"/>
      <c r="E54" s="135"/>
      <c r="F54" s="135"/>
      <c r="G54" s="135">
        <f t="shared" si="4"/>
        <v>0</v>
      </c>
      <c r="H54" s="134">
        <f t="shared" si="5"/>
        <v>2</v>
      </c>
    </row>
    <row r="55" spans="1:8" ht="15" x14ac:dyDescent="0.2">
      <c r="A55" s="91">
        <v>52</v>
      </c>
      <c r="B55" s="134"/>
      <c r="C55" s="134"/>
      <c r="D55" s="135"/>
      <c r="E55" s="135"/>
      <c r="F55" s="135"/>
      <c r="G55" s="135">
        <f t="shared" si="2"/>
        <v>0</v>
      </c>
      <c r="H55" s="134">
        <f t="shared" si="3"/>
        <v>2</v>
      </c>
    </row>
    <row r="56" spans="1:8" ht="15" x14ac:dyDescent="0.2">
      <c r="A56" s="12"/>
      <c r="B56" s="12"/>
      <c r="C56" s="12"/>
      <c r="D56" s="8"/>
      <c r="E56" s="8"/>
      <c r="F56" s="8"/>
      <c r="G56" s="8"/>
      <c r="H56" s="12"/>
    </row>
    <row r="57" spans="1:8" ht="15" x14ac:dyDescent="0.2">
      <c r="A57" s="12"/>
      <c r="B57" s="12"/>
      <c r="C57" s="12"/>
      <c r="D57" s="12"/>
      <c r="E57" s="8"/>
      <c r="F57" s="8"/>
      <c r="G57" s="8"/>
      <c r="H57" s="12"/>
    </row>
    <row r="58" spans="1:8" ht="15" x14ac:dyDescent="0.2">
      <c r="A58" s="160" t="s">
        <v>88</v>
      </c>
      <c r="B58" s="160"/>
      <c r="C58" s="40">
        <f>COUNT(table1[Number of Fish])</f>
        <v>31</v>
      </c>
      <c r="D58" s="40"/>
      <c r="E58" s="40"/>
      <c r="F58" s="41"/>
      <c r="G58" s="41"/>
      <c r="H58" s="49"/>
    </row>
    <row r="59" spans="1:8" ht="15" x14ac:dyDescent="0.2">
      <c r="A59" s="160" t="s">
        <v>89</v>
      </c>
      <c r="B59" s="160"/>
      <c r="C59" s="40">
        <f>SUM(table1[Number of Fish])</f>
        <v>109</v>
      </c>
      <c r="D59" s="40"/>
      <c r="E59" s="40"/>
      <c r="F59" s="41"/>
      <c r="G59" s="41"/>
      <c r="H59" s="49"/>
    </row>
    <row r="60" spans="1:8" ht="15" x14ac:dyDescent="0.2">
      <c r="A60" s="160" t="s">
        <v>90</v>
      </c>
      <c r="B60" s="160"/>
      <c r="C60" s="41">
        <f>SUM(table1[Total Weight])</f>
        <v>225.99999999999997</v>
      </c>
      <c r="D60" s="40"/>
      <c r="E60" s="41"/>
      <c r="F60" s="41"/>
      <c r="G60" s="41"/>
      <c r="H60" s="48"/>
    </row>
    <row r="61" spans="1:8" ht="15" x14ac:dyDescent="0.2">
      <c r="A61" s="160" t="s">
        <v>91</v>
      </c>
      <c r="B61" s="160"/>
      <c r="C61" s="41">
        <f>C60/C59</f>
        <v>2.0733944954128436</v>
      </c>
      <c r="D61" s="40"/>
      <c r="E61" s="50"/>
      <c r="F61" s="41"/>
      <c r="G61" s="41"/>
      <c r="H61" s="48"/>
    </row>
    <row r="62" spans="1:8" ht="15" x14ac:dyDescent="0.2">
      <c r="A62" s="160" t="s">
        <v>92</v>
      </c>
      <c r="B62" s="160"/>
      <c r="C62" s="41">
        <f>C59/C58</f>
        <v>3.5161290322580645</v>
      </c>
      <c r="D62" s="40"/>
      <c r="E62" s="41"/>
      <c r="F62" s="41"/>
      <c r="G62" s="41"/>
      <c r="H62" s="48"/>
    </row>
  </sheetData>
  <sortState ref="B4:B29">
    <sortCondition ref="B4:B29"/>
  </sortState>
  <mergeCells count="7">
    <mergeCell ref="A61:B61"/>
    <mergeCell ref="A62:B62"/>
    <mergeCell ref="A1:H1"/>
    <mergeCell ref="A2:H2"/>
    <mergeCell ref="A58:B58"/>
    <mergeCell ref="A59:B59"/>
    <mergeCell ref="A60:B60"/>
  </mergeCells>
  <phoneticPr fontId="0" type="noConversion"/>
  <conditionalFormatting sqref="B4">
    <cfRule type="duplicateValues" dxfId="18" priority="1"/>
  </conditionalFormatting>
  <printOptions horizontalCentered="1" verticalCentered="1"/>
  <pageMargins left="0.25" right="0.25" top="0.25" bottom="0.25" header="0" footer="0"/>
  <pageSetup scale="83" orientation="portrait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B4:B55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H61"/>
  <sheetViews>
    <sheetView topLeftCell="A2" zoomScale="70" zoomScaleNormal="70" workbookViewId="0">
      <selection activeCell="B20" sqref="B20"/>
    </sheetView>
  </sheetViews>
  <sheetFormatPr defaultColWidth="9.140625" defaultRowHeight="12.75" x14ac:dyDescent="0.2"/>
  <cols>
    <col min="1" max="1" width="9" style="2" customWidth="1"/>
    <col min="2" max="2" width="34.42578125" style="2" customWidth="1"/>
    <col min="3" max="3" width="19.42578125" style="2" customWidth="1"/>
    <col min="4" max="4" width="12" style="2" customWidth="1"/>
    <col min="5" max="5" width="16.5703125" style="2" customWidth="1"/>
    <col min="6" max="6" width="11.28515625" style="2" customWidth="1"/>
    <col min="7" max="7" width="19.5703125" style="2" bestFit="1" customWidth="1"/>
    <col min="8" max="8" width="12.7109375" style="2" customWidth="1"/>
    <col min="9" max="16384" width="9.140625" style="2"/>
  </cols>
  <sheetData>
    <row r="1" spans="1:8" ht="41.25" x14ac:dyDescent="0.8">
      <c r="A1" s="163" t="s">
        <v>274</v>
      </c>
      <c r="B1" s="163"/>
      <c r="C1" s="163"/>
      <c r="D1" s="163"/>
      <c r="E1" s="163"/>
      <c r="F1" s="163"/>
      <c r="G1" s="163"/>
      <c r="H1" s="163"/>
    </row>
    <row r="2" spans="1:8" ht="21" thickBot="1" x14ac:dyDescent="0.35">
      <c r="A2" s="164" t="s">
        <v>275</v>
      </c>
      <c r="B2" s="165"/>
      <c r="C2" s="165"/>
      <c r="D2" s="165"/>
      <c r="E2" s="165"/>
      <c r="F2" s="165"/>
      <c r="G2" s="165"/>
      <c r="H2" s="165"/>
    </row>
    <row r="3" spans="1:8" ht="18.75" thickTop="1" x14ac:dyDescent="0.25">
      <c r="A3" s="42"/>
      <c r="B3" s="43"/>
      <c r="C3" s="166"/>
      <c r="D3" s="167"/>
      <c r="E3" s="167"/>
      <c r="F3" s="167"/>
      <c r="G3" s="168"/>
      <c r="H3" s="44" t="s">
        <v>93</v>
      </c>
    </row>
    <row r="4" spans="1:8" s="103" customFormat="1" ht="13.5" thickBot="1" x14ac:dyDescent="0.25">
      <c r="A4" s="45"/>
      <c r="B4" s="99" t="s">
        <v>22</v>
      </c>
      <c r="C4" s="100" t="s">
        <v>213</v>
      </c>
      <c r="D4" s="101" t="s">
        <v>181</v>
      </c>
      <c r="E4" s="101" t="s">
        <v>214</v>
      </c>
      <c r="F4" s="101" t="s">
        <v>179</v>
      </c>
      <c r="G4" s="99" t="s">
        <v>215</v>
      </c>
      <c r="H4" s="102" t="s">
        <v>25</v>
      </c>
    </row>
    <row r="5" spans="1:8" s="3" customFormat="1" ht="14.1" customHeight="1" thickTop="1" x14ac:dyDescent="0.2">
      <c r="A5" s="84">
        <v>1</v>
      </c>
      <c r="B5" s="30" t="s">
        <v>148</v>
      </c>
      <c r="C5" s="84">
        <v>5</v>
      </c>
      <c r="D5" s="35">
        <v>3.5</v>
      </c>
      <c r="E5" s="35">
        <v>14.55</v>
      </c>
      <c r="F5" s="35"/>
      <c r="G5" s="35">
        <f t="shared" ref="G5:G35" si="0">SUM(E5-F5)</f>
        <v>14.55</v>
      </c>
      <c r="H5" s="84">
        <f t="shared" ref="H5:H19" si="1">IF(A5&lt;31,33-A5,2)</f>
        <v>32</v>
      </c>
    </row>
    <row r="6" spans="1:8" s="3" customFormat="1" ht="14.1" customHeight="1" x14ac:dyDescent="0.2">
      <c r="A6" s="84">
        <v>2</v>
      </c>
      <c r="B6" s="30" t="s">
        <v>33</v>
      </c>
      <c r="C6" s="84">
        <v>5</v>
      </c>
      <c r="D6" s="35">
        <v>4.92</v>
      </c>
      <c r="E6" s="35">
        <v>12.45</v>
      </c>
      <c r="F6" s="35"/>
      <c r="G6" s="35">
        <f t="shared" si="0"/>
        <v>12.45</v>
      </c>
      <c r="H6" s="84">
        <f t="shared" si="1"/>
        <v>31</v>
      </c>
    </row>
    <row r="7" spans="1:8" s="3" customFormat="1" ht="14.1" customHeight="1" x14ac:dyDescent="0.2">
      <c r="A7" s="84">
        <v>3</v>
      </c>
      <c r="B7" s="30" t="s">
        <v>234</v>
      </c>
      <c r="C7" s="84">
        <v>5</v>
      </c>
      <c r="D7" s="35">
        <v>3.14</v>
      </c>
      <c r="E7" s="35">
        <v>11.65</v>
      </c>
      <c r="F7" s="35"/>
      <c r="G7" s="35">
        <f t="shared" si="0"/>
        <v>11.65</v>
      </c>
      <c r="H7" s="84">
        <f t="shared" si="1"/>
        <v>30</v>
      </c>
    </row>
    <row r="8" spans="1:8" s="3" customFormat="1" ht="14.1" customHeight="1" x14ac:dyDescent="0.2">
      <c r="A8" s="84">
        <v>4</v>
      </c>
      <c r="B8" s="30" t="s">
        <v>175</v>
      </c>
      <c r="C8" s="84">
        <v>5</v>
      </c>
      <c r="D8" s="35">
        <v>2.35</v>
      </c>
      <c r="E8" s="35">
        <v>11.43</v>
      </c>
      <c r="F8" s="35"/>
      <c r="G8" s="35">
        <f t="shared" si="0"/>
        <v>11.43</v>
      </c>
      <c r="H8" s="84">
        <f t="shared" si="1"/>
        <v>29</v>
      </c>
    </row>
    <row r="9" spans="1:8" ht="14.1" customHeight="1" x14ac:dyDescent="0.2">
      <c r="A9" s="84">
        <v>5</v>
      </c>
      <c r="B9" s="30" t="s">
        <v>189</v>
      </c>
      <c r="C9" s="84">
        <v>5</v>
      </c>
      <c r="D9" s="35">
        <v>3.06</v>
      </c>
      <c r="E9" s="35">
        <v>11.31</v>
      </c>
      <c r="F9" s="35">
        <v>0.25</v>
      </c>
      <c r="G9" s="35">
        <f t="shared" si="0"/>
        <v>11.06</v>
      </c>
      <c r="H9" s="84">
        <f t="shared" si="1"/>
        <v>28</v>
      </c>
    </row>
    <row r="10" spans="1:8" ht="15.75" x14ac:dyDescent="0.2">
      <c r="A10" s="84">
        <v>6</v>
      </c>
      <c r="B10" s="30" t="s">
        <v>266</v>
      </c>
      <c r="C10" s="84">
        <v>5</v>
      </c>
      <c r="D10" s="35">
        <v>2.85</v>
      </c>
      <c r="E10" s="35">
        <v>10.7</v>
      </c>
      <c r="F10" s="35"/>
      <c r="G10" s="35">
        <f t="shared" si="0"/>
        <v>10.7</v>
      </c>
      <c r="H10" s="84">
        <f t="shared" si="1"/>
        <v>27</v>
      </c>
    </row>
    <row r="11" spans="1:8" ht="15.75" x14ac:dyDescent="0.2">
      <c r="A11" s="84">
        <v>7</v>
      </c>
      <c r="B11" s="30" t="s">
        <v>105</v>
      </c>
      <c r="C11" s="84">
        <v>5</v>
      </c>
      <c r="D11" s="35">
        <v>2.75</v>
      </c>
      <c r="E11" s="35">
        <v>9.9600000000000009</v>
      </c>
      <c r="F11" s="35"/>
      <c r="G11" s="35">
        <f t="shared" si="0"/>
        <v>9.9600000000000009</v>
      </c>
      <c r="H11" s="84">
        <f t="shared" si="1"/>
        <v>26</v>
      </c>
    </row>
    <row r="12" spans="1:8" ht="15.75" x14ac:dyDescent="0.2">
      <c r="A12" s="84">
        <v>8</v>
      </c>
      <c r="B12" s="30" t="s">
        <v>102</v>
      </c>
      <c r="C12" s="84">
        <v>5</v>
      </c>
      <c r="D12" s="35">
        <v>2.0499999999999998</v>
      </c>
      <c r="E12" s="35">
        <v>9.33</v>
      </c>
      <c r="F12" s="35"/>
      <c r="G12" s="35">
        <f t="shared" si="0"/>
        <v>9.33</v>
      </c>
      <c r="H12" s="84">
        <f t="shared" si="1"/>
        <v>25</v>
      </c>
    </row>
    <row r="13" spans="1:8" ht="15.75" x14ac:dyDescent="0.2">
      <c r="A13" s="84">
        <v>9</v>
      </c>
      <c r="B13" s="30" t="s">
        <v>145</v>
      </c>
      <c r="C13" s="84">
        <v>5</v>
      </c>
      <c r="D13" s="35">
        <v>2.34</v>
      </c>
      <c r="E13" s="35">
        <v>9.08</v>
      </c>
      <c r="F13" s="35"/>
      <c r="G13" s="35">
        <f t="shared" si="0"/>
        <v>9.08</v>
      </c>
      <c r="H13" s="84">
        <f t="shared" si="1"/>
        <v>24</v>
      </c>
    </row>
    <row r="14" spans="1:8" ht="15.75" x14ac:dyDescent="0.2">
      <c r="A14" s="84">
        <v>10</v>
      </c>
      <c r="B14" s="30" t="s">
        <v>170</v>
      </c>
      <c r="C14" s="84">
        <v>5</v>
      </c>
      <c r="D14" s="35">
        <v>2.0299999999999998</v>
      </c>
      <c r="E14" s="35">
        <v>8.9700000000000006</v>
      </c>
      <c r="F14" s="35"/>
      <c r="G14" s="35">
        <f t="shared" si="0"/>
        <v>8.9700000000000006</v>
      </c>
      <c r="H14" s="84">
        <f t="shared" si="1"/>
        <v>23</v>
      </c>
    </row>
    <row r="15" spans="1:8" ht="15.75" x14ac:dyDescent="0.2">
      <c r="A15" s="84">
        <v>11</v>
      </c>
      <c r="B15" s="30" t="s">
        <v>268</v>
      </c>
      <c r="C15" s="84">
        <v>5</v>
      </c>
      <c r="D15" s="35">
        <v>2.11</v>
      </c>
      <c r="E15" s="35">
        <v>8.43</v>
      </c>
      <c r="F15" s="35"/>
      <c r="G15" s="35">
        <f t="shared" si="0"/>
        <v>8.43</v>
      </c>
      <c r="H15" s="84">
        <f t="shared" si="1"/>
        <v>22</v>
      </c>
    </row>
    <row r="16" spans="1:8" ht="15.75" x14ac:dyDescent="0.2">
      <c r="A16" s="84">
        <v>12</v>
      </c>
      <c r="B16" s="30" t="s">
        <v>35</v>
      </c>
      <c r="C16" s="84">
        <v>5</v>
      </c>
      <c r="D16" s="35">
        <v>1.9</v>
      </c>
      <c r="E16" s="35">
        <v>8.2200000000000006</v>
      </c>
      <c r="F16" s="35"/>
      <c r="G16" s="35">
        <f t="shared" si="0"/>
        <v>8.2200000000000006</v>
      </c>
      <c r="H16" s="84">
        <f t="shared" si="1"/>
        <v>21</v>
      </c>
    </row>
    <row r="17" spans="1:8" ht="15.75" x14ac:dyDescent="0.2">
      <c r="A17" s="84">
        <v>13</v>
      </c>
      <c r="B17" s="30" t="s">
        <v>32</v>
      </c>
      <c r="C17" s="84">
        <v>5</v>
      </c>
      <c r="D17" s="35">
        <v>2.62</v>
      </c>
      <c r="E17" s="35">
        <v>8.18</v>
      </c>
      <c r="F17" s="35"/>
      <c r="G17" s="35">
        <f t="shared" si="0"/>
        <v>8.18</v>
      </c>
      <c r="H17" s="84">
        <f t="shared" si="1"/>
        <v>20</v>
      </c>
    </row>
    <row r="18" spans="1:8" ht="15.75" x14ac:dyDescent="0.2">
      <c r="A18" s="84">
        <v>14</v>
      </c>
      <c r="B18" s="30" t="s">
        <v>54</v>
      </c>
      <c r="C18" s="84">
        <v>4</v>
      </c>
      <c r="D18" s="35">
        <v>2.46</v>
      </c>
      <c r="E18" s="35">
        <v>7.5</v>
      </c>
      <c r="F18" s="35"/>
      <c r="G18" s="35">
        <f t="shared" si="0"/>
        <v>7.5</v>
      </c>
      <c r="H18" s="84">
        <f t="shared" si="1"/>
        <v>19</v>
      </c>
    </row>
    <row r="19" spans="1:8" ht="15.75" x14ac:dyDescent="0.2">
      <c r="A19" s="84">
        <v>15</v>
      </c>
      <c r="B19" s="30" t="s">
        <v>49</v>
      </c>
      <c r="C19" s="84">
        <v>5</v>
      </c>
      <c r="D19" s="35">
        <v>2.63</v>
      </c>
      <c r="E19" s="35">
        <v>7.66</v>
      </c>
      <c r="F19" s="35">
        <v>0.5</v>
      </c>
      <c r="G19" s="35">
        <f t="shared" si="0"/>
        <v>7.16</v>
      </c>
      <c r="H19" s="84">
        <f t="shared" si="1"/>
        <v>18</v>
      </c>
    </row>
    <row r="20" spans="1:8" ht="15.75" x14ac:dyDescent="0.2">
      <c r="A20" s="84">
        <v>16</v>
      </c>
      <c r="B20" s="30" t="s">
        <v>277</v>
      </c>
      <c r="C20" s="84">
        <v>5</v>
      </c>
      <c r="D20" s="35">
        <v>1.8</v>
      </c>
      <c r="E20" s="35">
        <v>6.93</v>
      </c>
      <c r="F20" s="35"/>
      <c r="G20" s="35">
        <f t="shared" si="0"/>
        <v>6.93</v>
      </c>
      <c r="H20" s="84" t="s">
        <v>272</v>
      </c>
    </row>
    <row r="21" spans="1:8" ht="15.75" x14ac:dyDescent="0.2">
      <c r="A21" s="84">
        <v>17</v>
      </c>
      <c r="B21" s="30" t="s">
        <v>255</v>
      </c>
      <c r="C21" s="84">
        <v>4</v>
      </c>
      <c r="D21" s="35">
        <v>0</v>
      </c>
      <c r="E21" s="35">
        <v>6.9</v>
      </c>
      <c r="F21" s="35"/>
      <c r="G21" s="35">
        <f t="shared" si="0"/>
        <v>6.9</v>
      </c>
      <c r="H21" s="84">
        <v>17</v>
      </c>
    </row>
    <row r="22" spans="1:8" ht="15.75" x14ac:dyDescent="0.2">
      <c r="A22" s="84">
        <v>18</v>
      </c>
      <c r="B22" s="30" t="s">
        <v>53</v>
      </c>
      <c r="C22" s="84">
        <v>4</v>
      </c>
      <c r="D22" s="35">
        <v>0</v>
      </c>
      <c r="E22" s="35">
        <v>6.26</v>
      </c>
      <c r="F22" s="35"/>
      <c r="G22" s="35">
        <f t="shared" si="0"/>
        <v>6.26</v>
      </c>
      <c r="H22" s="84">
        <f>H21-1</f>
        <v>16</v>
      </c>
    </row>
    <row r="23" spans="1:8" ht="15.75" x14ac:dyDescent="0.2">
      <c r="A23" s="84">
        <v>19</v>
      </c>
      <c r="B23" s="30" t="s">
        <v>62</v>
      </c>
      <c r="C23" s="84">
        <v>3</v>
      </c>
      <c r="D23" s="35">
        <v>2.56</v>
      </c>
      <c r="E23" s="35">
        <v>5.17</v>
      </c>
      <c r="F23" s="35"/>
      <c r="G23" s="35">
        <f t="shared" si="0"/>
        <v>5.17</v>
      </c>
      <c r="H23" s="84">
        <f t="shared" ref="H23:H31" si="2">H22-1</f>
        <v>15</v>
      </c>
    </row>
    <row r="24" spans="1:8" ht="15.75" x14ac:dyDescent="0.2">
      <c r="A24" s="84">
        <v>20</v>
      </c>
      <c r="B24" s="30" t="s">
        <v>84</v>
      </c>
      <c r="C24" s="84">
        <v>4</v>
      </c>
      <c r="D24" s="35">
        <v>1.33</v>
      </c>
      <c r="E24" s="35">
        <v>4.92</v>
      </c>
      <c r="F24" s="35"/>
      <c r="G24" s="35">
        <f t="shared" si="0"/>
        <v>4.92</v>
      </c>
      <c r="H24" s="84">
        <f t="shared" si="2"/>
        <v>14</v>
      </c>
    </row>
    <row r="25" spans="1:8" ht="15.75" x14ac:dyDescent="0.2">
      <c r="A25" s="84">
        <v>21</v>
      </c>
      <c r="B25" s="30" t="s">
        <v>191</v>
      </c>
      <c r="C25" s="84">
        <v>2</v>
      </c>
      <c r="D25" s="35">
        <v>3.44</v>
      </c>
      <c r="E25" s="35">
        <v>4.6900000000000004</v>
      </c>
      <c r="F25" s="35"/>
      <c r="G25" s="35">
        <f t="shared" si="0"/>
        <v>4.6900000000000004</v>
      </c>
      <c r="H25" s="84">
        <f t="shared" si="2"/>
        <v>13</v>
      </c>
    </row>
    <row r="26" spans="1:8" ht="15.75" x14ac:dyDescent="0.2">
      <c r="A26" s="84">
        <v>22</v>
      </c>
      <c r="B26" s="30" t="s">
        <v>56</v>
      </c>
      <c r="C26" s="84">
        <v>2</v>
      </c>
      <c r="D26" s="35">
        <v>2.34</v>
      </c>
      <c r="E26" s="35">
        <v>4.34</v>
      </c>
      <c r="F26" s="35"/>
      <c r="G26" s="35">
        <f t="shared" si="0"/>
        <v>4.34</v>
      </c>
      <c r="H26" s="84">
        <f t="shared" si="2"/>
        <v>12</v>
      </c>
    </row>
    <row r="27" spans="1:8" ht="15.75" x14ac:dyDescent="0.2">
      <c r="A27" s="84">
        <v>23</v>
      </c>
      <c r="B27" s="30" t="s">
        <v>269</v>
      </c>
      <c r="C27" s="84">
        <v>2</v>
      </c>
      <c r="D27" s="35">
        <v>2.4300000000000002</v>
      </c>
      <c r="E27" s="35">
        <v>3.79</v>
      </c>
      <c r="F27" s="35"/>
      <c r="G27" s="35">
        <f t="shared" si="0"/>
        <v>3.79</v>
      </c>
      <c r="H27" s="84">
        <f t="shared" si="2"/>
        <v>11</v>
      </c>
    </row>
    <row r="28" spans="1:8" ht="15.75" x14ac:dyDescent="0.2">
      <c r="A28" s="84">
        <v>24</v>
      </c>
      <c r="B28" s="30" t="s">
        <v>48</v>
      </c>
      <c r="C28" s="84">
        <v>2</v>
      </c>
      <c r="D28" s="35">
        <v>2.4300000000000002</v>
      </c>
      <c r="E28" s="35">
        <v>3.72</v>
      </c>
      <c r="F28" s="35"/>
      <c r="G28" s="35">
        <f t="shared" si="0"/>
        <v>3.72</v>
      </c>
      <c r="H28" s="84">
        <f t="shared" si="2"/>
        <v>10</v>
      </c>
    </row>
    <row r="29" spans="1:8" ht="15.75" x14ac:dyDescent="0.2">
      <c r="A29" s="84">
        <v>25</v>
      </c>
      <c r="B29" s="30" t="s">
        <v>31</v>
      </c>
      <c r="C29" s="84">
        <v>2</v>
      </c>
      <c r="D29" s="35">
        <v>1.92</v>
      </c>
      <c r="E29" s="35">
        <v>3.64</v>
      </c>
      <c r="F29" s="35"/>
      <c r="G29" s="35">
        <f t="shared" si="0"/>
        <v>3.64</v>
      </c>
      <c r="H29" s="84">
        <f t="shared" si="2"/>
        <v>9</v>
      </c>
    </row>
    <row r="30" spans="1:8" ht="15.75" x14ac:dyDescent="0.2">
      <c r="A30" s="84">
        <v>26</v>
      </c>
      <c r="B30" s="30" t="s">
        <v>241</v>
      </c>
      <c r="C30" s="84">
        <v>1</v>
      </c>
      <c r="D30" s="35">
        <v>2.62</v>
      </c>
      <c r="E30" s="35">
        <v>2.62</v>
      </c>
      <c r="F30" s="35"/>
      <c r="G30" s="35">
        <f t="shared" si="0"/>
        <v>2.62</v>
      </c>
      <c r="H30" s="84">
        <f t="shared" si="2"/>
        <v>8</v>
      </c>
    </row>
    <row r="31" spans="1:8" ht="15.75" x14ac:dyDescent="0.2">
      <c r="A31" s="84">
        <v>27</v>
      </c>
      <c r="B31" s="30" t="s">
        <v>122</v>
      </c>
      <c r="C31" s="84">
        <v>1</v>
      </c>
      <c r="D31" s="35">
        <v>1.37</v>
      </c>
      <c r="E31" s="35">
        <v>1.37</v>
      </c>
      <c r="F31" s="35"/>
      <c r="G31" s="35">
        <f t="shared" si="0"/>
        <v>1.37</v>
      </c>
      <c r="H31" s="84">
        <f t="shared" si="2"/>
        <v>7</v>
      </c>
    </row>
    <row r="32" spans="1:8" ht="15.75" x14ac:dyDescent="0.2">
      <c r="A32" s="84">
        <v>28</v>
      </c>
      <c r="B32" s="30" t="s">
        <v>80</v>
      </c>
      <c r="C32" s="84">
        <v>0</v>
      </c>
      <c r="D32" s="35">
        <v>0</v>
      </c>
      <c r="E32" s="35">
        <v>0</v>
      </c>
      <c r="F32" s="35"/>
      <c r="G32" s="35">
        <f t="shared" si="0"/>
        <v>0</v>
      </c>
      <c r="H32" s="84">
        <v>2</v>
      </c>
    </row>
    <row r="33" spans="1:8" ht="15.75" x14ac:dyDescent="0.2">
      <c r="A33" s="84">
        <v>29</v>
      </c>
      <c r="B33" s="30" t="s">
        <v>278</v>
      </c>
      <c r="C33" s="84">
        <v>0</v>
      </c>
      <c r="D33" s="35">
        <v>0</v>
      </c>
      <c r="E33" s="35">
        <v>0</v>
      </c>
      <c r="F33" s="35"/>
      <c r="G33" s="35">
        <f t="shared" si="0"/>
        <v>0</v>
      </c>
      <c r="H33" s="84">
        <v>2</v>
      </c>
    </row>
    <row r="34" spans="1:8" ht="15.75" x14ac:dyDescent="0.2">
      <c r="A34" s="84">
        <v>30</v>
      </c>
      <c r="B34" s="30"/>
      <c r="C34" s="84"/>
      <c r="D34" s="35"/>
      <c r="E34" s="35"/>
      <c r="F34" s="35"/>
      <c r="G34" s="35">
        <f t="shared" si="0"/>
        <v>0</v>
      </c>
      <c r="H34" s="84">
        <v>0</v>
      </c>
    </row>
    <row r="35" spans="1:8" ht="15.75" x14ac:dyDescent="0.2">
      <c r="A35" s="84">
        <v>31</v>
      </c>
      <c r="B35" s="30"/>
      <c r="C35" s="84"/>
      <c r="D35" s="35"/>
      <c r="E35" s="35"/>
      <c r="F35" s="35"/>
      <c r="G35" s="35">
        <f t="shared" si="0"/>
        <v>0</v>
      </c>
      <c r="H35" s="84">
        <v>0</v>
      </c>
    </row>
    <row r="36" spans="1:8" ht="15.75" x14ac:dyDescent="0.2">
      <c r="A36" s="84">
        <v>32</v>
      </c>
      <c r="B36" s="30"/>
      <c r="C36" s="137"/>
      <c r="D36" s="136"/>
      <c r="E36" s="136"/>
      <c r="F36" s="136"/>
      <c r="G36" s="136">
        <f t="shared" ref="G36:G55" si="3">SUM(E36-F36)</f>
        <v>0</v>
      </c>
      <c r="H36" s="84">
        <v>0</v>
      </c>
    </row>
    <row r="37" spans="1:8" ht="15.75" x14ac:dyDescent="0.2">
      <c r="A37" s="84">
        <v>33</v>
      </c>
      <c r="B37" s="136"/>
      <c r="C37" s="137"/>
      <c r="D37" s="136"/>
      <c r="E37" s="136"/>
      <c r="F37" s="136"/>
      <c r="G37" s="136">
        <f t="shared" si="3"/>
        <v>0</v>
      </c>
      <c r="H37" s="84">
        <v>0</v>
      </c>
    </row>
    <row r="38" spans="1:8" ht="15.75" x14ac:dyDescent="0.2">
      <c r="A38" s="84">
        <v>34</v>
      </c>
      <c r="B38" s="136"/>
      <c r="C38" s="137"/>
      <c r="D38" s="136"/>
      <c r="E38" s="136"/>
      <c r="F38" s="136"/>
      <c r="G38" s="136">
        <f t="shared" si="3"/>
        <v>0</v>
      </c>
      <c r="H38" s="84">
        <f t="shared" ref="H38:H55" si="4">IF(A38&lt;31,33-A38,2)</f>
        <v>2</v>
      </c>
    </row>
    <row r="39" spans="1:8" ht="15.75" x14ac:dyDescent="0.2">
      <c r="A39" s="84">
        <v>35</v>
      </c>
      <c r="B39" s="136"/>
      <c r="C39" s="137"/>
      <c r="D39" s="136"/>
      <c r="E39" s="136"/>
      <c r="F39" s="136"/>
      <c r="G39" s="136">
        <f t="shared" si="3"/>
        <v>0</v>
      </c>
      <c r="H39" s="84">
        <f t="shared" si="4"/>
        <v>2</v>
      </c>
    </row>
    <row r="40" spans="1:8" ht="15.75" x14ac:dyDescent="0.2">
      <c r="A40" s="84">
        <v>36</v>
      </c>
      <c r="B40" s="136"/>
      <c r="C40" s="137"/>
      <c r="D40" s="136"/>
      <c r="E40" s="136"/>
      <c r="F40" s="136"/>
      <c r="G40" s="136">
        <f t="shared" si="3"/>
        <v>0</v>
      </c>
      <c r="H40" s="84">
        <f t="shared" si="4"/>
        <v>2</v>
      </c>
    </row>
    <row r="41" spans="1:8" ht="15.75" x14ac:dyDescent="0.2">
      <c r="A41" s="84">
        <v>37</v>
      </c>
      <c r="B41" s="136"/>
      <c r="C41" s="137"/>
      <c r="D41" s="136"/>
      <c r="E41" s="136"/>
      <c r="F41" s="136"/>
      <c r="G41" s="136">
        <f t="shared" si="3"/>
        <v>0</v>
      </c>
      <c r="H41" s="84">
        <f t="shared" si="4"/>
        <v>2</v>
      </c>
    </row>
    <row r="42" spans="1:8" ht="15.75" x14ac:dyDescent="0.2">
      <c r="A42" s="84">
        <v>38</v>
      </c>
      <c r="B42" s="136"/>
      <c r="C42" s="137"/>
      <c r="D42" s="136"/>
      <c r="E42" s="136"/>
      <c r="F42" s="136"/>
      <c r="G42" s="136">
        <f t="shared" si="3"/>
        <v>0</v>
      </c>
      <c r="H42" s="84">
        <f t="shared" si="4"/>
        <v>2</v>
      </c>
    </row>
    <row r="43" spans="1:8" ht="15.75" x14ac:dyDescent="0.2">
      <c r="A43" s="84">
        <v>39</v>
      </c>
      <c r="B43" s="136"/>
      <c r="C43" s="137"/>
      <c r="D43" s="136"/>
      <c r="E43" s="136"/>
      <c r="F43" s="136"/>
      <c r="G43" s="136">
        <f t="shared" si="3"/>
        <v>0</v>
      </c>
      <c r="H43" s="84">
        <f t="shared" si="4"/>
        <v>2</v>
      </c>
    </row>
    <row r="44" spans="1:8" ht="15.75" x14ac:dyDescent="0.2">
      <c r="A44" s="84">
        <v>40</v>
      </c>
      <c r="B44" s="136"/>
      <c r="C44" s="137"/>
      <c r="D44" s="136"/>
      <c r="E44" s="136"/>
      <c r="F44" s="136"/>
      <c r="G44" s="136">
        <f t="shared" si="3"/>
        <v>0</v>
      </c>
      <c r="H44" s="84">
        <f t="shared" si="4"/>
        <v>2</v>
      </c>
    </row>
    <row r="45" spans="1:8" ht="15.75" x14ac:dyDescent="0.2">
      <c r="A45" s="84">
        <v>41</v>
      </c>
      <c r="B45" s="136"/>
      <c r="C45" s="137"/>
      <c r="D45" s="136"/>
      <c r="E45" s="136"/>
      <c r="F45" s="136"/>
      <c r="G45" s="136">
        <f t="shared" si="3"/>
        <v>0</v>
      </c>
      <c r="H45" s="84">
        <f t="shared" si="4"/>
        <v>2</v>
      </c>
    </row>
    <row r="46" spans="1:8" ht="15.75" x14ac:dyDescent="0.2">
      <c r="A46" s="84">
        <v>42</v>
      </c>
      <c r="B46" s="136"/>
      <c r="C46" s="137"/>
      <c r="D46" s="136"/>
      <c r="E46" s="136"/>
      <c r="F46" s="136"/>
      <c r="G46" s="136">
        <f t="shared" si="3"/>
        <v>0</v>
      </c>
      <c r="H46" s="84">
        <f t="shared" si="4"/>
        <v>2</v>
      </c>
    </row>
    <row r="47" spans="1:8" ht="15.75" x14ac:dyDescent="0.2">
      <c r="A47" s="84">
        <v>43</v>
      </c>
      <c r="B47" s="136"/>
      <c r="C47" s="137"/>
      <c r="D47" s="136"/>
      <c r="E47" s="136"/>
      <c r="F47" s="136"/>
      <c r="G47" s="136">
        <f t="shared" si="3"/>
        <v>0</v>
      </c>
      <c r="H47" s="84">
        <f t="shared" si="4"/>
        <v>2</v>
      </c>
    </row>
    <row r="48" spans="1:8" ht="15.75" x14ac:dyDescent="0.2">
      <c r="A48" s="84">
        <v>44</v>
      </c>
      <c r="B48" s="136"/>
      <c r="C48" s="137"/>
      <c r="D48" s="136"/>
      <c r="E48" s="136"/>
      <c r="F48" s="136"/>
      <c r="G48" s="136">
        <f t="shared" si="3"/>
        <v>0</v>
      </c>
      <c r="H48" s="84">
        <f t="shared" si="4"/>
        <v>2</v>
      </c>
    </row>
    <row r="49" spans="1:8" ht="15.75" x14ac:dyDescent="0.2">
      <c r="A49" s="84">
        <v>45</v>
      </c>
      <c r="B49" s="136"/>
      <c r="C49" s="137"/>
      <c r="D49" s="136"/>
      <c r="E49" s="136"/>
      <c r="F49" s="136"/>
      <c r="G49" s="136">
        <f t="shared" si="3"/>
        <v>0</v>
      </c>
      <c r="H49" s="84">
        <f t="shared" si="4"/>
        <v>2</v>
      </c>
    </row>
    <row r="50" spans="1:8" ht="15.75" x14ac:dyDescent="0.2">
      <c r="A50" s="84">
        <v>46</v>
      </c>
      <c r="B50" s="136"/>
      <c r="C50" s="137"/>
      <c r="D50" s="136"/>
      <c r="E50" s="136"/>
      <c r="F50" s="136"/>
      <c r="G50" s="136">
        <f t="shared" si="3"/>
        <v>0</v>
      </c>
      <c r="H50" s="84">
        <f t="shared" si="4"/>
        <v>2</v>
      </c>
    </row>
    <row r="51" spans="1:8" ht="15.75" x14ac:dyDescent="0.2">
      <c r="A51" s="84">
        <v>47</v>
      </c>
      <c r="B51" s="136"/>
      <c r="C51" s="137"/>
      <c r="D51" s="136"/>
      <c r="E51" s="136"/>
      <c r="F51" s="136"/>
      <c r="G51" s="136">
        <f t="shared" si="3"/>
        <v>0</v>
      </c>
      <c r="H51" s="84">
        <f t="shared" si="4"/>
        <v>2</v>
      </c>
    </row>
    <row r="52" spans="1:8" ht="15.75" x14ac:dyDescent="0.2">
      <c r="A52" s="84">
        <v>48</v>
      </c>
      <c r="B52" s="136"/>
      <c r="C52" s="137"/>
      <c r="D52" s="136"/>
      <c r="E52" s="136"/>
      <c r="F52" s="136"/>
      <c r="G52" s="136">
        <f t="shared" si="3"/>
        <v>0</v>
      </c>
      <c r="H52" s="84">
        <f t="shared" si="4"/>
        <v>2</v>
      </c>
    </row>
    <row r="53" spans="1:8" ht="15.75" x14ac:dyDescent="0.2">
      <c r="A53" s="84">
        <v>49</v>
      </c>
      <c r="B53" s="136"/>
      <c r="C53" s="137"/>
      <c r="D53" s="136"/>
      <c r="E53" s="136"/>
      <c r="F53" s="136"/>
      <c r="G53" s="136">
        <f t="shared" si="3"/>
        <v>0</v>
      </c>
      <c r="H53" s="84">
        <f t="shared" si="4"/>
        <v>2</v>
      </c>
    </row>
    <row r="54" spans="1:8" ht="15.75" x14ac:dyDescent="0.2">
      <c r="A54" s="84">
        <v>50</v>
      </c>
      <c r="B54" s="136"/>
      <c r="C54" s="137"/>
      <c r="D54" s="136"/>
      <c r="E54" s="136"/>
      <c r="F54" s="136"/>
      <c r="G54" s="136">
        <f t="shared" si="3"/>
        <v>0</v>
      </c>
      <c r="H54" s="84">
        <f t="shared" si="4"/>
        <v>2</v>
      </c>
    </row>
    <row r="55" spans="1:8" ht="15.75" x14ac:dyDescent="0.2">
      <c r="A55" s="84">
        <v>51</v>
      </c>
      <c r="B55" s="136"/>
      <c r="C55" s="137"/>
      <c r="D55" s="136"/>
      <c r="E55" s="136"/>
      <c r="F55" s="136"/>
      <c r="G55" s="136">
        <f t="shared" si="3"/>
        <v>0</v>
      </c>
      <c r="H55" s="84">
        <f t="shared" si="4"/>
        <v>2</v>
      </c>
    </row>
    <row r="56" spans="1:8" ht="15.75" x14ac:dyDescent="0.2">
      <c r="A56" s="84"/>
      <c r="C56" s="35"/>
      <c r="D56" s="36"/>
      <c r="E56" s="36"/>
      <c r="F56" s="36"/>
      <c r="G56" s="37"/>
      <c r="H56" s="85"/>
    </row>
    <row r="57" spans="1:8" ht="15.75" x14ac:dyDescent="0.25">
      <c r="A57" s="66" t="s">
        <v>88</v>
      </c>
      <c r="B57" s="67"/>
      <c r="C57" s="68">
        <f>COUNT(table2[Number of Fish])</f>
        <v>29</v>
      </c>
      <c r="D57" s="68"/>
      <c r="E57" s="68"/>
      <c r="F57" s="68"/>
      <c r="G57" s="66"/>
      <c r="H57" s="67"/>
    </row>
    <row r="58" spans="1:8" ht="15.75" x14ac:dyDescent="0.25">
      <c r="A58" s="66" t="s">
        <v>89</v>
      </c>
      <c r="B58" s="67"/>
      <c r="C58" s="68">
        <f>SUM(table2[Number of Fish])</f>
        <v>106</v>
      </c>
      <c r="D58" s="69"/>
      <c r="E58" s="69"/>
      <c r="F58" s="69"/>
      <c r="G58" s="66"/>
      <c r="H58" s="67"/>
    </row>
    <row r="59" spans="1:8" ht="15.75" x14ac:dyDescent="0.25">
      <c r="A59" s="66" t="s">
        <v>90</v>
      </c>
      <c r="B59" s="67"/>
      <c r="C59" s="70">
        <f>SUM(table2[Total Weight])</f>
        <v>203.76999999999998</v>
      </c>
      <c r="D59" s="70"/>
      <c r="E59" s="70"/>
      <c r="F59" s="70"/>
      <c r="G59" s="66"/>
      <c r="H59" s="67"/>
    </row>
    <row r="60" spans="1:8" ht="15.75" x14ac:dyDescent="0.25">
      <c r="A60" s="66" t="s">
        <v>91</v>
      </c>
      <c r="B60" s="67"/>
      <c r="C60" s="70">
        <f>C59/C58</f>
        <v>1.9223584905660376</v>
      </c>
      <c r="D60" s="70"/>
      <c r="E60" s="70"/>
      <c r="F60" s="70"/>
      <c r="G60" s="71"/>
      <c r="H60" s="67"/>
    </row>
    <row r="61" spans="1:8" ht="15.75" x14ac:dyDescent="0.25">
      <c r="A61" s="66" t="s">
        <v>92</v>
      </c>
      <c r="B61" s="67"/>
      <c r="C61" s="70">
        <f>C58/C57</f>
        <v>3.6551724137931036</v>
      </c>
      <c r="D61" s="70"/>
      <c r="E61" s="70"/>
      <c r="F61" s="70"/>
      <c r="G61" s="71"/>
      <c r="H61" s="67"/>
    </row>
  </sheetData>
  <sortState ref="B5:B27">
    <sortCondition ref="B5:B27"/>
  </sortState>
  <mergeCells count="3">
    <mergeCell ref="A1:H1"/>
    <mergeCell ref="A2:H2"/>
    <mergeCell ref="C3:G3"/>
  </mergeCells>
  <phoneticPr fontId="0" type="noConversion"/>
  <conditionalFormatting sqref="B5">
    <cfRule type="duplicateValues" dxfId="17" priority="7"/>
  </conditionalFormatting>
  <conditionalFormatting sqref="B6:B24 B26:B36">
    <cfRule type="duplicateValues" dxfId="16" priority="4"/>
  </conditionalFormatting>
  <conditionalFormatting sqref="B25">
    <cfRule type="duplicateValues" dxfId="15" priority="1"/>
  </conditionalFormatting>
  <printOptions horizontalCentered="1"/>
  <pageMargins left="0.2" right="0.2" top="0.25" bottom="0.25" header="0" footer="0"/>
  <pageSetup scale="48" orientation="landscape" r:id="rId1"/>
  <headerFooter alignWithMargins="0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B5:B55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42"/>
  <sheetViews>
    <sheetView zoomScale="70" zoomScaleNormal="70" workbookViewId="0">
      <selection activeCell="C17" sqref="C17"/>
    </sheetView>
  </sheetViews>
  <sheetFormatPr defaultColWidth="9.140625" defaultRowHeight="15.75" x14ac:dyDescent="0.25"/>
  <cols>
    <col min="1" max="1" width="3.85546875" style="5" bestFit="1" customWidth="1"/>
    <col min="2" max="2" width="34" style="150" customWidth="1"/>
    <col min="3" max="3" width="25.42578125" style="1" bestFit="1" customWidth="1"/>
    <col min="4" max="4" width="12.7109375" style="1" customWidth="1"/>
    <col min="5" max="5" width="22" style="1" bestFit="1" customWidth="1"/>
    <col min="6" max="6" width="16" style="1" bestFit="1" customWidth="1"/>
    <col min="7" max="7" width="20" style="1" bestFit="1" customWidth="1"/>
    <col min="8" max="8" width="17" style="1" customWidth="1"/>
    <col min="9" max="16384" width="9.140625" style="2"/>
  </cols>
  <sheetData>
    <row r="1" spans="1:8" ht="31.5" x14ac:dyDescent="0.6">
      <c r="A1" s="170" t="s">
        <v>280</v>
      </c>
      <c r="B1" s="170"/>
      <c r="C1" s="170"/>
      <c r="D1" s="170"/>
      <c r="E1" s="170"/>
      <c r="F1" s="170"/>
      <c r="G1" s="170"/>
      <c r="H1" s="170"/>
    </row>
    <row r="2" spans="1:8" ht="18" customHeight="1" x14ac:dyDescent="0.3">
      <c r="A2" s="169">
        <v>44029</v>
      </c>
      <c r="B2" s="169"/>
      <c r="C2" s="169"/>
      <c r="D2" s="169"/>
      <c r="E2" s="169"/>
      <c r="F2" s="169"/>
      <c r="G2" s="169"/>
      <c r="H2" s="169"/>
    </row>
    <row r="3" spans="1:8" ht="15" customHeight="1" x14ac:dyDescent="0.25">
      <c r="A3" s="72"/>
      <c r="B3" s="74" t="s">
        <v>22</v>
      </c>
      <c r="C3" s="73" t="s">
        <v>213</v>
      </c>
      <c r="D3" s="73" t="s">
        <v>181</v>
      </c>
      <c r="E3" s="73" t="s">
        <v>214</v>
      </c>
      <c r="F3" s="73" t="s">
        <v>179</v>
      </c>
      <c r="G3" s="73" t="s">
        <v>215</v>
      </c>
      <c r="H3" s="74" t="s">
        <v>216</v>
      </c>
    </row>
    <row r="4" spans="1:8" s="3" customFormat="1" ht="15" x14ac:dyDescent="0.2">
      <c r="A4" s="28">
        <v>1</v>
      </c>
      <c r="B4" s="30" t="s">
        <v>105</v>
      </c>
      <c r="C4" s="28">
        <v>3</v>
      </c>
      <c r="D4" s="29">
        <v>6.1</v>
      </c>
      <c r="E4" s="29">
        <v>12.58</v>
      </c>
      <c r="F4" s="29"/>
      <c r="G4" s="29">
        <f t="shared" ref="G4:G30" si="0">E4-F4</f>
        <v>12.58</v>
      </c>
      <c r="H4" s="28">
        <f t="shared" ref="H4:H30" si="1">IF(G4=0,"2",IF(A4&lt;31,33-A4,2))</f>
        <v>32</v>
      </c>
    </row>
    <row r="5" spans="1:8" s="3" customFormat="1" ht="15" x14ac:dyDescent="0.2">
      <c r="A5" s="28">
        <v>2</v>
      </c>
      <c r="B5" s="46" t="s">
        <v>35</v>
      </c>
      <c r="C5" s="28">
        <v>3</v>
      </c>
      <c r="D5" s="29">
        <v>5.34</v>
      </c>
      <c r="E5" s="29">
        <v>10.09</v>
      </c>
      <c r="F5" s="29"/>
      <c r="G5" s="29">
        <f t="shared" si="0"/>
        <v>10.09</v>
      </c>
      <c r="H5" s="28">
        <f t="shared" si="1"/>
        <v>31</v>
      </c>
    </row>
    <row r="6" spans="1:8" s="3" customFormat="1" ht="15" x14ac:dyDescent="0.2">
      <c r="A6" s="28">
        <v>3</v>
      </c>
      <c r="B6" s="46" t="s">
        <v>269</v>
      </c>
      <c r="C6" s="28">
        <v>3</v>
      </c>
      <c r="D6" s="29">
        <v>2.97</v>
      </c>
      <c r="E6" s="29">
        <v>9.5399999999999991</v>
      </c>
      <c r="F6" s="29"/>
      <c r="G6" s="29">
        <f t="shared" si="0"/>
        <v>9.5399999999999991</v>
      </c>
      <c r="H6" s="28">
        <f t="shared" si="1"/>
        <v>30</v>
      </c>
    </row>
    <row r="7" spans="1:8" s="3" customFormat="1" ht="15" x14ac:dyDescent="0.2">
      <c r="A7" s="28">
        <v>4</v>
      </c>
      <c r="B7" s="46" t="s">
        <v>48</v>
      </c>
      <c r="C7" s="28">
        <v>3</v>
      </c>
      <c r="D7" s="29">
        <v>3.52</v>
      </c>
      <c r="E7" s="29">
        <v>8.93</v>
      </c>
      <c r="F7" s="29"/>
      <c r="G7" s="29">
        <f t="shared" si="0"/>
        <v>8.93</v>
      </c>
      <c r="H7" s="28">
        <f t="shared" si="1"/>
        <v>29</v>
      </c>
    </row>
    <row r="8" spans="1:8" s="3" customFormat="1" ht="15" x14ac:dyDescent="0.2">
      <c r="A8" s="28">
        <v>5</v>
      </c>
      <c r="B8" s="46" t="s">
        <v>240</v>
      </c>
      <c r="C8" s="28">
        <v>3</v>
      </c>
      <c r="D8" s="29">
        <v>3.17</v>
      </c>
      <c r="E8" s="29">
        <v>8.56</v>
      </c>
      <c r="F8" s="29"/>
      <c r="G8" s="29">
        <f t="shared" si="0"/>
        <v>8.56</v>
      </c>
      <c r="H8" s="28">
        <f t="shared" si="1"/>
        <v>28</v>
      </c>
    </row>
    <row r="9" spans="1:8" s="3" customFormat="1" ht="15" x14ac:dyDescent="0.2">
      <c r="A9" s="28">
        <v>6</v>
      </c>
      <c r="B9" s="46" t="s">
        <v>241</v>
      </c>
      <c r="C9" s="28">
        <v>3</v>
      </c>
      <c r="D9" s="29">
        <v>3.05</v>
      </c>
      <c r="E9" s="29">
        <v>8.4499999999999993</v>
      </c>
      <c r="F9" s="29"/>
      <c r="G9" s="29">
        <f t="shared" si="0"/>
        <v>8.4499999999999993</v>
      </c>
      <c r="H9" s="28">
        <f t="shared" si="1"/>
        <v>27</v>
      </c>
    </row>
    <row r="10" spans="1:8" ht="15" x14ac:dyDescent="0.2">
      <c r="A10" s="28">
        <v>7</v>
      </c>
      <c r="B10" s="46" t="s">
        <v>54</v>
      </c>
      <c r="C10" s="28">
        <v>3</v>
      </c>
      <c r="D10" s="29">
        <v>3.19</v>
      </c>
      <c r="E10" s="29">
        <v>8.24</v>
      </c>
      <c r="F10" s="29"/>
      <c r="G10" s="29">
        <f t="shared" si="0"/>
        <v>8.24</v>
      </c>
      <c r="H10" s="28">
        <f t="shared" si="1"/>
        <v>26</v>
      </c>
    </row>
    <row r="11" spans="1:8" ht="15" x14ac:dyDescent="0.2">
      <c r="A11" s="28">
        <v>8</v>
      </c>
      <c r="B11" s="46" t="s">
        <v>175</v>
      </c>
      <c r="C11" s="28">
        <v>3</v>
      </c>
      <c r="D11" s="29">
        <v>3.46</v>
      </c>
      <c r="E11" s="29">
        <v>8.14</v>
      </c>
      <c r="F11" s="29"/>
      <c r="G11" s="29">
        <f t="shared" si="0"/>
        <v>8.14</v>
      </c>
      <c r="H11" s="28">
        <f t="shared" si="1"/>
        <v>25</v>
      </c>
    </row>
    <row r="12" spans="1:8" ht="15" x14ac:dyDescent="0.2">
      <c r="A12" s="28">
        <v>9</v>
      </c>
      <c r="B12" s="46" t="s">
        <v>102</v>
      </c>
      <c r="C12" s="28">
        <v>3</v>
      </c>
      <c r="D12" s="29">
        <v>3.7</v>
      </c>
      <c r="E12" s="29">
        <v>7.66</v>
      </c>
      <c r="F12" s="29"/>
      <c r="G12" s="29">
        <f t="shared" si="0"/>
        <v>7.66</v>
      </c>
      <c r="H12" s="28">
        <f t="shared" si="1"/>
        <v>24</v>
      </c>
    </row>
    <row r="13" spans="1:8" ht="15" x14ac:dyDescent="0.2">
      <c r="A13" s="28">
        <v>10</v>
      </c>
      <c r="B13" s="46" t="s">
        <v>49</v>
      </c>
      <c r="C13" s="28">
        <v>3</v>
      </c>
      <c r="D13" s="29">
        <v>3.06</v>
      </c>
      <c r="E13" s="29">
        <v>7.58</v>
      </c>
      <c r="F13" s="29"/>
      <c r="G13" s="29">
        <f t="shared" si="0"/>
        <v>7.58</v>
      </c>
      <c r="H13" s="28">
        <f t="shared" si="1"/>
        <v>23</v>
      </c>
    </row>
    <row r="14" spans="1:8" ht="15" x14ac:dyDescent="0.2">
      <c r="A14" s="28">
        <v>11</v>
      </c>
      <c r="B14" s="46" t="s">
        <v>170</v>
      </c>
      <c r="C14" s="28">
        <v>3</v>
      </c>
      <c r="D14" s="29">
        <v>2.68</v>
      </c>
      <c r="E14" s="29">
        <v>7.33</v>
      </c>
      <c r="F14" s="29"/>
      <c r="G14" s="29">
        <f t="shared" si="0"/>
        <v>7.33</v>
      </c>
      <c r="H14" s="28">
        <f t="shared" si="1"/>
        <v>22</v>
      </c>
    </row>
    <row r="15" spans="1:8" ht="15" x14ac:dyDescent="0.2">
      <c r="A15" s="28">
        <v>12</v>
      </c>
      <c r="B15" s="46" t="s">
        <v>122</v>
      </c>
      <c r="C15" s="28">
        <v>3</v>
      </c>
      <c r="D15" s="29">
        <v>3.02</v>
      </c>
      <c r="E15" s="29">
        <v>7.32</v>
      </c>
      <c r="F15" s="29"/>
      <c r="G15" s="29">
        <f t="shared" si="0"/>
        <v>7.32</v>
      </c>
      <c r="H15" s="28">
        <f t="shared" si="1"/>
        <v>21</v>
      </c>
    </row>
    <row r="16" spans="1:8" ht="15" x14ac:dyDescent="0.2">
      <c r="A16" s="28">
        <v>13</v>
      </c>
      <c r="B16" s="46" t="s">
        <v>145</v>
      </c>
      <c r="C16" s="28">
        <v>3</v>
      </c>
      <c r="D16" s="29">
        <v>3.02</v>
      </c>
      <c r="E16" s="29">
        <v>6.98</v>
      </c>
      <c r="F16" s="29"/>
      <c r="G16" s="29">
        <f t="shared" si="0"/>
        <v>6.98</v>
      </c>
      <c r="H16" s="28">
        <f t="shared" si="1"/>
        <v>20</v>
      </c>
    </row>
    <row r="17" spans="1:8" ht="15" x14ac:dyDescent="0.2">
      <c r="A17" s="28">
        <v>14</v>
      </c>
      <c r="B17" s="46" t="s">
        <v>189</v>
      </c>
      <c r="C17" s="28">
        <v>3</v>
      </c>
      <c r="D17" s="29">
        <v>2.87</v>
      </c>
      <c r="E17" s="29">
        <v>5.99</v>
      </c>
      <c r="F17" s="29"/>
      <c r="G17" s="29">
        <f t="shared" si="0"/>
        <v>5.99</v>
      </c>
      <c r="H17" s="28">
        <f t="shared" si="1"/>
        <v>19</v>
      </c>
    </row>
    <row r="18" spans="1:8" ht="15" x14ac:dyDescent="0.2">
      <c r="A18" s="28">
        <v>15</v>
      </c>
      <c r="B18" s="46" t="s">
        <v>277</v>
      </c>
      <c r="C18" s="28">
        <v>2</v>
      </c>
      <c r="D18" s="29">
        <v>3.52</v>
      </c>
      <c r="E18" s="29">
        <v>5.86</v>
      </c>
      <c r="F18" s="29"/>
      <c r="G18" s="29">
        <f t="shared" si="0"/>
        <v>5.86</v>
      </c>
      <c r="H18" s="28">
        <f t="shared" si="1"/>
        <v>18</v>
      </c>
    </row>
    <row r="19" spans="1:8" ht="15" x14ac:dyDescent="0.2">
      <c r="A19" s="28">
        <v>16</v>
      </c>
      <c r="B19" s="46" t="s">
        <v>266</v>
      </c>
      <c r="C19" s="28">
        <v>3</v>
      </c>
      <c r="D19" s="29">
        <v>0</v>
      </c>
      <c r="E19" s="29">
        <v>5.54</v>
      </c>
      <c r="F19" s="29"/>
      <c r="G19" s="29">
        <f t="shared" si="0"/>
        <v>5.54</v>
      </c>
      <c r="H19" s="28">
        <f t="shared" si="1"/>
        <v>17</v>
      </c>
    </row>
    <row r="20" spans="1:8" ht="15" x14ac:dyDescent="0.2">
      <c r="A20" s="28">
        <v>17</v>
      </c>
      <c r="B20" s="46" t="s">
        <v>148</v>
      </c>
      <c r="C20" s="28">
        <v>2</v>
      </c>
      <c r="D20" s="29">
        <v>2.76</v>
      </c>
      <c r="E20" s="29">
        <v>5.53</v>
      </c>
      <c r="F20" s="29"/>
      <c r="G20" s="29">
        <f t="shared" si="0"/>
        <v>5.53</v>
      </c>
      <c r="H20" s="28">
        <f t="shared" si="1"/>
        <v>16</v>
      </c>
    </row>
    <row r="21" spans="1:8" ht="15" x14ac:dyDescent="0.2">
      <c r="A21" s="28">
        <v>18</v>
      </c>
      <c r="B21" s="46" t="s">
        <v>84</v>
      </c>
      <c r="C21" s="28">
        <v>3</v>
      </c>
      <c r="D21" s="29">
        <v>1.89</v>
      </c>
      <c r="E21" s="29">
        <v>5.39</v>
      </c>
      <c r="F21" s="29"/>
      <c r="G21" s="29">
        <f t="shared" si="0"/>
        <v>5.39</v>
      </c>
      <c r="H21" s="28">
        <f t="shared" si="1"/>
        <v>15</v>
      </c>
    </row>
    <row r="22" spans="1:8" ht="15" x14ac:dyDescent="0.2">
      <c r="A22" s="28">
        <v>19</v>
      </c>
      <c r="B22" s="46" t="s">
        <v>255</v>
      </c>
      <c r="C22" s="28">
        <v>2</v>
      </c>
      <c r="D22" s="29">
        <v>3.23</v>
      </c>
      <c r="E22" s="29">
        <v>5.57</v>
      </c>
      <c r="F22" s="29">
        <v>0.25</v>
      </c>
      <c r="G22" s="29">
        <f t="shared" si="0"/>
        <v>5.32</v>
      </c>
      <c r="H22" s="28">
        <f t="shared" si="1"/>
        <v>14</v>
      </c>
    </row>
    <row r="23" spans="1:8" ht="15" x14ac:dyDescent="0.2">
      <c r="A23" s="28">
        <v>20</v>
      </c>
      <c r="B23" s="46" t="s">
        <v>234</v>
      </c>
      <c r="C23" s="28">
        <v>3</v>
      </c>
      <c r="D23" s="29">
        <v>0</v>
      </c>
      <c r="E23" s="29">
        <v>5.32</v>
      </c>
      <c r="F23" s="29"/>
      <c r="G23" s="29">
        <f t="shared" si="0"/>
        <v>5.32</v>
      </c>
      <c r="H23" s="28">
        <f t="shared" si="1"/>
        <v>13</v>
      </c>
    </row>
    <row r="24" spans="1:8" ht="15" x14ac:dyDescent="0.2">
      <c r="A24" s="28">
        <v>21</v>
      </c>
      <c r="B24" s="46" t="s">
        <v>33</v>
      </c>
      <c r="C24" s="28">
        <v>3</v>
      </c>
      <c r="D24" s="29">
        <v>1.75</v>
      </c>
      <c r="E24" s="29">
        <v>5.29</v>
      </c>
      <c r="F24" s="29"/>
      <c r="G24" s="29">
        <f t="shared" si="0"/>
        <v>5.29</v>
      </c>
      <c r="H24" s="28">
        <f t="shared" si="1"/>
        <v>12</v>
      </c>
    </row>
    <row r="25" spans="1:8" ht="15" x14ac:dyDescent="0.2">
      <c r="A25" s="28">
        <v>22</v>
      </c>
      <c r="B25" s="46" t="s">
        <v>62</v>
      </c>
      <c r="C25" s="28">
        <v>3</v>
      </c>
      <c r="D25" s="29">
        <v>1.99</v>
      </c>
      <c r="E25" s="29">
        <v>5.46</v>
      </c>
      <c r="F25" s="29">
        <v>0.25</v>
      </c>
      <c r="G25" s="29">
        <f t="shared" si="0"/>
        <v>5.21</v>
      </c>
      <c r="H25" s="28">
        <f t="shared" si="1"/>
        <v>11</v>
      </c>
    </row>
    <row r="26" spans="1:8" ht="15" x14ac:dyDescent="0.2">
      <c r="A26" s="28">
        <v>23</v>
      </c>
      <c r="B26" s="46" t="s">
        <v>32</v>
      </c>
      <c r="C26" s="28">
        <v>3</v>
      </c>
      <c r="D26" s="29">
        <v>2.37</v>
      </c>
      <c r="E26" s="29">
        <v>5.17</v>
      </c>
      <c r="F26" s="29"/>
      <c r="G26" s="29">
        <f t="shared" si="0"/>
        <v>5.17</v>
      </c>
      <c r="H26" s="28">
        <f t="shared" si="1"/>
        <v>10</v>
      </c>
    </row>
    <row r="27" spans="1:8" ht="15" x14ac:dyDescent="0.2">
      <c r="A27" s="28">
        <v>24</v>
      </c>
      <c r="B27" s="46" t="s">
        <v>177</v>
      </c>
      <c r="C27" s="28">
        <v>2</v>
      </c>
      <c r="D27" s="29">
        <v>0</v>
      </c>
      <c r="E27" s="29">
        <v>3.25</v>
      </c>
      <c r="F27" s="29"/>
      <c r="G27" s="29">
        <f t="shared" si="0"/>
        <v>3.25</v>
      </c>
      <c r="H27" s="28">
        <f t="shared" si="1"/>
        <v>9</v>
      </c>
    </row>
    <row r="28" spans="1:8" ht="15" x14ac:dyDescent="0.2">
      <c r="A28" s="28">
        <v>25</v>
      </c>
      <c r="B28" s="46" t="s">
        <v>56</v>
      </c>
      <c r="C28" s="28">
        <v>1</v>
      </c>
      <c r="D28" s="29">
        <v>1.58</v>
      </c>
      <c r="E28" s="29">
        <v>1.58</v>
      </c>
      <c r="F28" s="29"/>
      <c r="G28" s="29">
        <f t="shared" si="0"/>
        <v>1.58</v>
      </c>
      <c r="H28" s="28">
        <f t="shared" si="1"/>
        <v>8</v>
      </c>
    </row>
    <row r="29" spans="1:8" ht="15" x14ac:dyDescent="0.2">
      <c r="A29" s="28">
        <v>26</v>
      </c>
      <c r="B29" s="46" t="s">
        <v>31</v>
      </c>
      <c r="C29" s="28">
        <v>1</v>
      </c>
      <c r="D29" s="29">
        <v>1.39</v>
      </c>
      <c r="E29" s="29">
        <v>1.39</v>
      </c>
      <c r="F29" s="29"/>
      <c r="G29" s="29">
        <f t="shared" si="0"/>
        <v>1.39</v>
      </c>
      <c r="H29" s="28">
        <f t="shared" si="1"/>
        <v>7</v>
      </c>
    </row>
    <row r="30" spans="1:8" ht="15" x14ac:dyDescent="0.2">
      <c r="A30" s="28">
        <v>27</v>
      </c>
      <c r="B30" s="46" t="s">
        <v>104</v>
      </c>
      <c r="C30" s="28">
        <v>0</v>
      </c>
      <c r="D30" s="29">
        <v>0</v>
      </c>
      <c r="E30" s="29">
        <v>0</v>
      </c>
      <c r="F30" s="29"/>
      <c r="G30" s="29">
        <f t="shared" si="0"/>
        <v>0</v>
      </c>
      <c r="H30" s="28" t="str">
        <f t="shared" si="1"/>
        <v>2</v>
      </c>
    </row>
    <row r="31" spans="1:8" ht="15" x14ac:dyDescent="0.2">
      <c r="A31" s="28"/>
      <c r="B31" s="46"/>
      <c r="C31" s="28"/>
      <c r="D31" s="29"/>
      <c r="E31" s="29"/>
      <c r="F31" s="29"/>
      <c r="G31" s="29"/>
      <c r="H31" s="28"/>
    </row>
    <row r="32" spans="1:8" ht="15" x14ac:dyDescent="0.2">
      <c r="A32" s="160" t="s">
        <v>88</v>
      </c>
      <c r="B32" s="160"/>
      <c r="C32" s="40">
        <f>COUNT(table3[Number of Fish])</f>
        <v>27</v>
      </c>
      <c r="D32" s="12"/>
      <c r="E32" s="8"/>
      <c r="F32" s="8"/>
      <c r="G32" s="8"/>
      <c r="H32" s="12"/>
    </row>
    <row r="33" spans="1:8" ht="15" x14ac:dyDescent="0.2">
      <c r="A33" s="160" t="s">
        <v>89</v>
      </c>
      <c r="B33" s="160"/>
      <c r="C33" s="40">
        <f>SUM(table3[Number of Fish])</f>
        <v>70</v>
      </c>
      <c r="D33" s="12"/>
      <c r="E33" s="8"/>
      <c r="F33" s="8"/>
      <c r="G33" s="8"/>
      <c r="H33" s="12"/>
    </row>
    <row r="34" spans="1:8" ht="15" x14ac:dyDescent="0.2">
      <c r="A34" s="160" t="s">
        <v>90</v>
      </c>
      <c r="B34" s="160"/>
      <c r="C34" s="41">
        <f>SUM(table3[Total Weight])</f>
        <v>172.73999999999995</v>
      </c>
      <c r="D34" s="8"/>
      <c r="E34" s="29"/>
      <c r="F34" s="29"/>
      <c r="G34" s="29"/>
      <c r="H34" s="12"/>
    </row>
    <row r="35" spans="1:8" ht="15" x14ac:dyDescent="0.2">
      <c r="A35" s="160" t="s">
        <v>91</v>
      </c>
      <c r="B35" s="160"/>
      <c r="C35" s="41">
        <f>C34/C33</f>
        <v>2.4677142857142851</v>
      </c>
      <c r="D35" s="8"/>
      <c r="E35" s="29"/>
      <c r="F35" s="29"/>
      <c r="G35" s="29"/>
      <c r="H35" s="12"/>
    </row>
    <row r="36" spans="1:8" ht="15" x14ac:dyDescent="0.2">
      <c r="A36" s="160" t="s">
        <v>92</v>
      </c>
      <c r="B36" s="160"/>
      <c r="C36" s="41">
        <f>C33/C32</f>
        <v>2.5925925925925926</v>
      </c>
      <c r="D36" s="8"/>
      <c r="E36" s="4"/>
      <c r="F36" s="4"/>
      <c r="G36" s="4"/>
      <c r="H36" s="29"/>
    </row>
    <row r="37" spans="1:8" ht="15" x14ac:dyDescent="0.2">
      <c r="A37" s="12"/>
      <c r="C37" s="4"/>
      <c r="D37" s="8"/>
      <c r="H37" s="29"/>
    </row>
    <row r="38" spans="1:8" ht="15" x14ac:dyDescent="0.2">
      <c r="A38" s="12"/>
      <c r="H38" s="4"/>
    </row>
    <row r="39" spans="1:8" ht="15" x14ac:dyDescent="0.2">
      <c r="A39" s="12"/>
    </row>
    <row r="40" spans="1:8" ht="15" x14ac:dyDescent="0.2">
      <c r="A40" s="30"/>
    </row>
    <row r="41" spans="1:8" ht="15" x14ac:dyDescent="0.2">
      <c r="A41" s="30"/>
    </row>
    <row r="42" spans="1:8" ht="15" x14ac:dyDescent="0.2">
      <c r="A42" s="30"/>
    </row>
  </sheetData>
  <sortState ref="B4:G55">
    <sortCondition descending="1" ref="G4:G55"/>
    <sortCondition ref="B4:B55"/>
  </sortState>
  <mergeCells count="7">
    <mergeCell ref="A35:B35"/>
    <mergeCell ref="A36:B36"/>
    <mergeCell ref="A2:H2"/>
    <mergeCell ref="A1:H1"/>
    <mergeCell ref="A32:B32"/>
    <mergeCell ref="A33:B33"/>
    <mergeCell ref="A34:B34"/>
  </mergeCells>
  <phoneticPr fontId="0" type="noConversion"/>
  <conditionalFormatting sqref="B4">
    <cfRule type="duplicateValues" dxfId="14" priority="1"/>
  </conditionalFormatting>
  <printOptions horizontalCentered="1" verticalCentered="1"/>
  <pageMargins left="0.2" right="0.2" top="0.25" bottom="0.25" header="0" footer="0"/>
  <pageSetup scale="70" orientation="portrait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B4:B31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S60"/>
  <sheetViews>
    <sheetView zoomScale="70" zoomScaleNormal="70" workbookViewId="0">
      <selection activeCell="F54" sqref="F54"/>
    </sheetView>
  </sheetViews>
  <sheetFormatPr defaultColWidth="9.140625" defaultRowHeight="15.75" x14ac:dyDescent="0.25"/>
  <cols>
    <col min="1" max="1" width="7.28515625" style="5" bestFit="1" customWidth="1"/>
    <col min="2" max="2" width="32.5703125" style="25" customWidth="1"/>
    <col min="3" max="3" width="25.42578125" style="1" bestFit="1" customWidth="1"/>
    <col min="4" max="4" width="16.7109375" style="1" bestFit="1" customWidth="1"/>
    <col min="5" max="5" width="22" style="1" bestFit="1" customWidth="1"/>
    <col min="6" max="6" width="16" style="1" bestFit="1" customWidth="1"/>
    <col min="7" max="7" width="20" style="1" bestFit="1" customWidth="1"/>
    <col min="8" max="8" width="21.42578125" style="1" bestFit="1" customWidth="1"/>
    <col min="9" max="16384" width="9.140625" style="2"/>
  </cols>
  <sheetData>
    <row r="1" spans="1:8" ht="31.5" x14ac:dyDescent="0.6">
      <c r="A1" s="171" t="s">
        <v>187</v>
      </c>
      <c r="B1" s="171"/>
      <c r="C1" s="171"/>
      <c r="D1" s="171"/>
      <c r="E1" s="171"/>
      <c r="F1" s="171"/>
      <c r="G1" s="171"/>
      <c r="H1" s="171"/>
    </row>
    <row r="2" spans="1:8" ht="20.25" x14ac:dyDescent="0.3">
      <c r="A2" s="172" t="s">
        <v>260</v>
      </c>
      <c r="B2" s="172"/>
      <c r="C2" s="172"/>
      <c r="D2" s="172"/>
      <c r="E2" s="172"/>
      <c r="F2" s="172"/>
      <c r="G2" s="172"/>
      <c r="H2" s="172"/>
    </row>
    <row r="3" spans="1:8" ht="15.75" customHeight="1" x14ac:dyDescent="0.25">
      <c r="A3" s="87" t="s">
        <v>183</v>
      </c>
      <c r="B3" s="95" t="s">
        <v>22</v>
      </c>
      <c r="C3" s="96" t="s">
        <v>213</v>
      </c>
      <c r="D3" s="97" t="s">
        <v>181</v>
      </c>
      <c r="E3" s="97" t="s">
        <v>214</v>
      </c>
      <c r="F3" s="97" t="s">
        <v>179</v>
      </c>
      <c r="G3" s="97" t="s">
        <v>215</v>
      </c>
      <c r="H3" s="98" t="s">
        <v>216</v>
      </c>
    </row>
    <row r="4" spans="1:8" ht="15" x14ac:dyDescent="0.2">
      <c r="A4" s="89">
        <v>1</v>
      </c>
      <c r="B4" s="30" t="s">
        <v>35</v>
      </c>
      <c r="C4" s="89">
        <v>3</v>
      </c>
      <c r="D4" s="90">
        <v>8.86</v>
      </c>
      <c r="E4" s="90">
        <v>16.7</v>
      </c>
      <c r="F4" s="90"/>
      <c r="G4" s="90">
        <f t="shared" ref="G4:G53" si="0">E4-F4</f>
        <v>16.7</v>
      </c>
      <c r="H4" s="28">
        <f>IF(table4[[#This Row],[Net Weight]]&gt;0,IF(A4&lt;31,33-A4,2),2)</f>
        <v>32</v>
      </c>
    </row>
    <row r="5" spans="1:8" s="3" customFormat="1" ht="15" x14ac:dyDescent="0.2">
      <c r="A5" s="92">
        <v>2</v>
      </c>
      <c r="B5" s="92" t="s">
        <v>266</v>
      </c>
      <c r="C5" s="92">
        <v>3</v>
      </c>
      <c r="D5" s="93">
        <v>3.49</v>
      </c>
      <c r="E5" s="93">
        <v>10.98</v>
      </c>
      <c r="F5" s="93"/>
      <c r="G5" s="93">
        <f t="shared" si="0"/>
        <v>10.98</v>
      </c>
      <c r="H5" s="28">
        <f>IF(table4[[#This Row],[Net Weight]]&gt;0,IF(A5&lt;31,33-A5,2),2)</f>
        <v>31</v>
      </c>
    </row>
    <row r="6" spans="1:8" s="3" customFormat="1" ht="15" x14ac:dyDescent="0.2">
      <c r="A6" s="89">
        <v>3</v>
      </c>
      <c r="B6" s="89" t="s">
        <v>148</v>
      </c>
      <c r="C6" s="89">
        <v>3</v>
      </c>
      <c r="D6" s="90">
        <v>3.93</v>
      </c>
      <c r="E6" s="90">
        <v>10.52</v>
      </c>
      <c r="F6" s="90"/>
      <c r="G6" s="90">
        <f t="shared" si="0"/>
        <v>10.52</v>
      </c>
      <c r="H6" s="28">
        <f>IF(table4[[#This Row],[Net Weight]]&gt;0,IF(A6&lt;31,33-A6,2),2)</f>
        <v>30</v>
      </c>
    </row>
    <row r="7" spans="1:8" s="3" customFormat="1" ht="15" x14ac:dyDescent="0.2">
      <c r="A7" s="92">
        <v>4</v>
      </c>
      <c r="B7" s="92" t="s">
        <v>234</v>
      </c>
      <c r="C7" s="92">
        <v>3</v>
      </c>
      <c r="D7" s="93">
        <v>2.99</v>
      </c>
      <c r="E7" s="93">
        <v>9.02</v>
      </c>
      <c r="F7" s="93"/>
      <c r="G7" s="93">
        <f t="shared" si="0"/>
        <v>9.02</v>
      </c>
      <c r="H7" s="28">
        <f>IF(table4[[#This Row],[Net Weight]]&gt;0,IF(A7&lt;31,33-A7,2),2)</f>
        <v>29</v>
      </c>
    </row>
    <row r="8" spans="1:8" s="3" customFormat="1" ht="15" x14ac:dyDescent="0.2">
      <c r="A8" s="89">
        <v>5</v>
      </c>
      <c r="B8" s="89" t="s">
        <v>255</v>
      </c>
      <c r="C8" s="89">
        <v>3</v>
      </c>
      <c r="D8" s="90">
        <v>3.23</v>
      </c>
      <c r="E8" s="90">
        <v>8.94</v>
      </c>
      <c r="F8" s="90"/>
      <c r="G8" s="90">
        <f t="shared" si="0"/>
        <v>8.94</v>
      </c>
      <c r="H8" s="28">
        <f>IF(table4[[#This Row],[Net Weight]]&gt;0,IF(A8&lt;31,33-A8,2),2)</f>
        <v>28</v>
      </c>
    </row>
    <row r="9" spans="1:8" s="3" customFormat="1" ht="15" x14ac:dyDescent="0.2">
      <c r="A9" s="92">
        <v>6</v>
      </c>
      <c r="B9" s="92" t="s">
        <v>145</v>
      </c>
      <c r="C9" s="92">
        <v>3</v>
      </c>
      <c r="D9" s="93">
        <v>3.64</v>
      </c>
      <c r="E9" s="93">
        <v>8.18</v>
      </c>
      <c r="F9" s="93"/>
      <c r="G9" s="93">
        <f t="shared" si="0"/>
        <v>8.18</v>
      </c>
      <c r="H9" s="28">
        <f>IF(table4[[#This Row],[Net Weight]]&gt;0,IF(A9&lt;31,33-A9,2),2)</f>
        <v>27</v>
      </c>
    </row>
    <row r="10" spans="1:8" s="3" customFormat="1" ht="15" x14ac:dyDescent="0.2">
      <c r="A10" s="89">
        <v>7</v>
      </c>
      <c r="B10" s="89" t="s">
        <v>49</v>
      </c>
      <c r="C10" s="89">
        <v>3</v>
      </c>
      <c r="D10" s="90">
        <v>3</v>
      </c>
      <c r="E10" s="90">
        <v>8.17</v>
      </c>
      <c r="F10" s="90"/>
      <c r="G10" s="90">
        <f t="shared" si="0"/>
        <v>8.17</v>
      </c>
      <c r="H10" s="28">
        <f>IF(table4[[#This Row],[Net Weight]]&gt;0,IF(A10&lt;31,33-A10,2),2)</f>
        <v>26</v>
      </c>
    </row>
    <row r="11" spans="1:8" ht="15" x14ac:dyDescent="0.2">
      <c r="A11" s="92">
        <v>8</v>
      </c>
      <c r="B11" s="92" t="s">
        <v>102</v>
      </c>
      <c r="C11" s="92">
        <v>3</v>
      </c>
      <c r="D11" s="93">
        <v>2.68</v>
      </c>
      <c r="E11" s="93">
        <v>7.75</v>
      </c>
      <c r="F11" s="93"/>
      <c r="G11" s="93">
        <f t="shared" si="0"/>
        <v>7.75</v>
      </c>
      <c r="H11" s="28">
        <f>IF(table4[[#This Row],[Net Weight]]&gt;0,IF(A11&lt;31,33-A11,2),2)</f>
        <v>25</v>
      </c>
    </row>
    <row r="12" spans="1:8" ht="15" x14ac:dyDescent="0.2">
      <c r="A12" s="89">
        <v>9</v>
      </c>
      <c r="B12" s="89" t="s">
        <v>189</v>
      </c>
      <c r="C12" s="89">
        <v>3</v>
      </c>
      <c r="D12" s="90">
        <v>2.5099999999999998</v>
      </c>
      <c r="E12" s="90">
        <v>7.67</v>
      </c>
      <c r="F12" s="90"/>
      <c r="G12" s="90">
        <f t="shared" si="0"/>
        <v>7.67</v>
      </c>
      <c r="H12" s="28">
        <f>IF(table4[[#This Row],[Net Weight]]&gt;0,IF(A12&lt;31,33-A12,2),2)</f>
        <v>24</v>
      </c>
    </row>
    <row r="13" spans="1:8" ht="15" x14ac:dyDescent="0.2">
      <c r="A13" s="92">
        <v>10</v>
      </c>
      <c r="B13" s="92" t="s">
        <v>48</v>
      </c>
      <c r="C13" s="92">
        <v>3</v>
      </c>
      <c r="D13" s="93">
        <v>2.8</v>
      </c>
      <c r="E13" s="93">
        <v>7.54</v>
      </c>
      <c r="F13" s="93"/>
      <c r="G13" s="93">
        <f t="shared" si="0"/>
        <v>7.54</v>
      </c>
      <c r="H13" s="28">
        <f>IF(table4[[#This Row],[Net Weight]]&gt;0,IF(A13&lt;31,33-A13,2),2)</f>
        <v>23</v>
      </c>
    </row>
    <row r="14" spans="1:8" ht="15" x14ac:dyDescent="0.2">
      <c r="A14" s="89">
        <v>11</v>
      </c>
      <c r="B14" s="89" t="s">
        <v>175</v>
      </c>
      <c r="C14" s="89">
        <v>3</v>
      </c>
      <c r="D14" s="90">
        <v>2.76</v>
      </c>
      <c r="E14" s="90">
        <v>7.44</v>
      </c>
      <c r="F14" s="90"/>
      <c r="G14" s="90">
        <f t="shared" si="0"/>
        <v>7.44</v>
      </c>
      <c r="H14" s="28">
        <f>IF(table4[[#This Row],[Net Weight]]&gt;0,IF(A14&lt;31,33-A14,2),2)</f>
        <v>22</v>
      </c>
    </row>
    <row r="15" spans="1:8" ht="15" x14ac:dyDescent="0.2">
      <c r="A15" s="92">
        <v>12</v>
      </c>
      <c r="B15" s="92" t="s">
        <v>84</v>
      </c>
      <c r="C15" s="92">
        <v>3</v>
      </c>
      <c r="D15" s="93">
        <v>3.31</v>
      </c>
      <c r="E15" s="93">
        <v>7.48</v>
      </c>
      <c r="F15" s="93">
        <v>0.25</v>
      </c>
      <c r="G15" s="93">
        <f t="shared" si="0"/>
        <v>7.23</v>
      </c>
      <c r="H15" s="28">
        <f>IF(table4[[#This Row],[Net Weight]]&gt;0,IF(A15&lt;31,33-A15,2),2)</f>
        <v>21</v>
      </c>
    </row>
    <row r="16" spans="1:8" ht="15" x14ac:dyDescent="0.2">
      <c r="A16" s="89">
        <v>13</v>
      </c>
      <c r="B16" s="89" t="s">
        <v>31</v>
      </c>
      <c r="C16" s="89">
        <v>3</v>
      </c>
      <c r="D16" s="90">
        <v>3.15</v>
      </c>
      <c r="E16" s="90">
        <v>7.21</v>
      </c>
      <c r="F16" s="90"/>
      <c r="G16" s="90">
        <f t="shared" si="0"/>
        <v>7.21</v>
      </c>
      <c r="H16" s="28">
        <f>IF(table4[[#This Row],[Net Weight]]&gt;0,IF(A16&lt;31,33-A16,2),2)</f>
        <v>20</v>
      </c>
    </row>
    <row r="17" spans="1:8" ht="15" x14ac:dyDescent="0.2">
      <c r="A17" s="92">
        <v>14</v>
      </c>
      <c r="B17" s="92" t="s">
        <v>104</v>
      </c>
      <c r="C17" s="92">
        <v>3</v>
      </c>
      <c r="D17" s="93">
        <v>2.85</v>
      </c>
      <c r="E17" s="93">
        <v>7.18</v>
      </c>
      <c r="F17" s="93"/>
      <c r="G17" s="93">
        <f t="shared" si="0"/>
        <v>7.18</v>
      </c>
      <c r="H17" s="28">
        <f>IF(table4[[#This Row],[Net Weight]]&gt;0,IF(A17&lt;31,33-A17,2),2)</f>
        <v>19</v>
      </c>
    </row>
    <row r="18" spans="1:8" ht="15" x14ac:dyDescent="0.2">
      <c r="A18" s="89"/>
      <c r="B18" s="94" t="s">
        <v>289</v>
      </c>
      <c r="C18" s="89">
        <v>3</v>
      </c>
      <c r="D18" s="90">
        <v>2.82</v>
      </c>
      <c r="E18" s="90">
        <v>7.09</v>
      </c>
      <c r="F18" s="90"/>
      <c r="G18" s="90">
        <f t="shared" si="0"/>
        <v>7.09</v>
      </c>
      <c r="H18" s="28" t="s">
        <v>272</v>
      </c>
    </row>
    <row r="19" spans="1:8" ht="15" x14ac:dyDescent="0.2">
      <c r="A19" s="92">
        <v>15</v>
      </c>
      <c r="B19" s="92" t="s">
        <v>277</v>
      </c>
      <c r="C19" s="92">
        <v>3</v>
      </c>
      <c r="D19" s="93">
        <v>2.94</v>
      </c>
      <c r="E19" s="93">
        <v>6.95</v>
      </c>
      <c r="F19" s="93"/>
      <c r="G19" s="93">
        <f t="shared" si="0"/>
        <v>6.95</v>
      </c>
      <c r="H19" s="28">
        <f>IF(table4[[#This Row],[Net Weight]]&gt;0,IF(A19&lt;31,33-A19,2),2)</f>
        <v>18</v>
      </c>
    </row>
    <row r="20" spans="1:8" ht="15" x14ac:dyDescent="0.2">
      <c r="A20" s="89">
        <v>16</v>
      </c>
      <c r="B20" s="89" t="s">
        <v>70</v>
      </c>
      <c r="C20" s="89">
        <v>3</v>
      </c>
      <c r="D20" s="90">
        <v>0</v>
      </c>
      <c r="E20" s="90">
        <v>6.89</v>
      </c>
      <c r="F20" s="90"/>
      <c r="G20" s="90">
        <f t="shared" si="0"/>
        <v>6.89</v>
      </c>
      <c r="H20" s="28">
        <f>IF(table4[[#This Row],[Net Weight]]&gt;0,IF(A20&lt;31,33-A20,2),2)</f>
        <v>17</v>
      </c>
    </row>
    <row r="21" spans="1:8" ht="15" x14ac:dyDescent="0.2">
      <c r="A21" s="92">
        <v>17</v>
      </c>
      <c r="B21" s="92" t="s">
        <v>105</v>
      </c>
      <c r="C21" s="92">
        <v>3</v>
      </c>
      <c r="D21" s="93">
        <v>2.37</v>
      </c>
      <c r="E21" s="93">
        <v>6.76</v>
      </c>
      <c r="F21" s="93"/>
      <c r="G21" s="93">
        <f t="shared" si="0"/>
        <v>6.76</v>
      </c>
      <c r="H21" s="28">
        <f>IF(table4[[#This Row],[Net Weight]]&gt;0,IF(A21&lt;31,33-A21,2),2)</f>
        <v>16</v>
      </c>
    </row>
    <row r="22" spans="1:8" ht="15" x14ac:dyDescent="0.2">
      <c r="A22" s="89">
        <v>18</v>
      </c>
      <c r="B22" s="89" t="s">
        <v>56</v>
      </c>
      <c r="C22" s="89">
        <v>3</v>
      </c>
      <c r="D22" s="90">
        <v>2.58</v>
      </c>
      <c r="E22" s="90">
        <v>6.69</v>
      </c>
      <c r="F22" s="90"/>
      <c r="G22" s="90">
        <f t="shared" si="0"/>
        <v>6.69</v>
      </c>
      <c r="H22" s="28">
        <f>IF(table4[[#This Row],[Net Weight]]&gt;0,IF(A22&lt;31,33-A22,2),2)</f>
        <v>15</v>
      </c>
    </row>
    <row r="23" spans="1:8" ht="15" x14ac:dyDescent="0.2">
      <c r="A23" s="92">
        <v>19</v>
      </c>
      <c r="B23" s="92" t="s">
        <v>54</v>
      </c>
      <c r="C23" s="92">
        <v>3</v>
      </c>
      <c r="D23" s="93">
        <v>2</v>
      </c>
      <c r="E23" s="93">
        <v>6.51</v>
      </c>
      <c r="F23" s="93"/>
      <c r="G23" s="93">
        <f t="shared" si="0"/>
        <v>6.51</v>
      </c>
      <c r="H23" s="28">
        <f>IF(table4[[#This Row],[Net Weight]]&gt;0,IF(A23&lt;31,33-A23,2),2)</f>
        <v>14</v>
      </c>
    </row>
    <row r="24" spans="1:8" ht="15" x14ac:dyDescent="0.2">
      <c r="A24" s="89">
        <v>20</v>
      </c>
      <c r="B24" s="89" t="s">
        <v>32</v>
      </c>
      <c r="C24" s="89">
        <v>3</v>
      </c>
      <c r="D24" s="90">
        <v>2.0699999999999998</v>
      </c>
      <c r="E24" s="90">
        <v>6.23</v>
      </c>
      <c r="F24" s="90"/>
      <c r="G24" s="90">
        <f t="shared" si="0"/>
        <v>6.23</v>
      </c>
      <c r="H24" s="28">
        <f>IF(table4[[#This Row],[Net Weight]]&gt;0,IF(A24&lt;31,33-A24,2),2)</f>
        <v>13</v>
      </c>
    </row>
    <row r="25" spans="1:8" ht="15" x14ac:dyDescent="0.2">
      <c r="A25" s="92">
        <v>21</v>
      </c>
      <c r="B25" s="92" t="s">
        <v>62</v>
      </c>
      <c r="C25" s="92">
        <v>3</v>
      </c>
      <c r="D25" s="93">
        <v>2.11</v>
      </c>
      <c r="E25" s="93">
        <v>6.14</v>
      </c>
      <c r="F25" s="93"/>
      <c r="G25" s="93">
        <f t="shared" si="0"/>
        <v>6.14</v>
      </c>
      <c r="H25" s="28">
        <f>IF(table4[[#This Row],[Net Weight]]&gt;0,IF(A25&lt;31,33-A25,2),2)</f>
        <v>12</v>
      </c>
    </row>
    <row r="26" spans="1:8" ht="15" x14ac:dyDescent="0.2">
      <c r="A26" s="89">
        <v>22</v>
      </c>
      <c r="B26" s="89" t="s">
        <v>170</v>
      </c>
      <c r="C26" s="89">
        <v>3</v>
      </c>
      <c r="D26" s="90">
        <v>1.98</v>
      </c>
      <c r="E26" s="90">
        <v>6.04</v>
      </c>
      <c r="F26" s="90"/>
      <c r="G26" s="90">
        <f t="shared" si="0"/>
        <v>6.04</v>
      </c>
      <c r="H26" s="28">
        <f>IF(table4[[#This Row],[Net Weight]]&gt;0,IF(A26&lt;31,33-A26,2),2)</f>
        <v>11</v>
      </c>
    </row>
    <row r="27" spans="1:8" ht="15" x14ac:dyDescent="0.2">
      <c r="A27" s="92">
        <v>23</v>
      </c>
      <c r="B27" s="92" t="s">
        <v>33</v>
      </c>
      <c r="C27" s="92">
        <v>3</v>
      </c>
      <c r="D27" s="93">
        <v>2.2000000000000002</v>
      </c>
      <c r="E27" s="93">
        <v>6.02</v>
      </c>
      <c r="F27" s="93"/>
      <c r="G27" s="93">
        <f t="shared" si="0"/>
        <v>6.02</v>
      </c>
      <c r="H27" s="28">
        <f>IF(table4[[#This Row],[Net Weight]]&gt;0,IF(A27&lt;31,33-A27,2),2)</f>
        <v>10</v>
      </c>
    </row>
    <row r="28" spans="1:8" ht="15" x14ac:dyDescent="0.2">
      <c r="A28" s="89"/>
      <c r="B28" s="89" t="s">
        <v>87</v>
      </c>
      <c r="C28" s="89">
        <v>3</v>
      </c>
      <c r="D28" s="90">
        <v>0</v>
      </c>
      <c r="E28" s="90">
        <v>5.66</v>
      </c>
      <c r="F28" s="90"/>
      <c r="G28" s="90">
        <f t="shared" si="0"/>
        <v>5.66</v>
      </c>
      <c r="H28" s="28" t="s">
        <v>272</v>
      </c>
    </row>
    <row r="29" spans="1:8" ht="15" x14ac:dyDescent="0.2">
      <c r="A29" s="92"/>
      <c r="B29" s="92" t="s">
        <v>78</v>
      </c>
      <c r="C29" s="92">
        <v>3</v>
      </c>
      <c r="D29" s="93">
        <v>0</v>
      </c>
      <c r="E29" s="93">
        <v>5.13</v>
      </c>
      <c r="F29" s="93"/>
      <c r="G29" s="93">
        <f t="shared" si="0"/>
        <v>5.13</v>
      </c>
      <c r="H29" s="28" t="s">
        <v>272</v>
      </c>
    </row>
    <row r="30" spans="1:8" ht="15" x14ac:dyDescent="0.2">
      <c r="A30" s="89">
        <v>24</v>
      </c>
      <c r="B30" s="89" t="s">
        <v>177</v>
      </c>
      <c r="C30" s="89">
        <v>1</v>
      </c>
      <c r="D30" s="90">
        <v>3.82</v>
      </c>
      <c r="E30" s="90">
        <v>3.82</v>
      </c>
      <c r="F30" s="90"/>
      <c r="G30" s="90">
        <f t="shared" si="0"/>
        <v>3.82</v>
      </c>
      <c r="H30" s="28">
        <f>IF(table4[[#This Row],[Net Weight]]&gt;0,IF(A30&lt;31,33-A30,2),2)</f>
        <v>9</v>
      </c>
    </row>
    <row r="31" spans="1:8" ht="15" x14ac:dyDescent="0.2">
      <c r="A31" s="92">
        <v>25</v>
      </c>
      <c r="B31" s="92" t="s">
        <v>107</v>
      </c>
      <c r="C31" s="92">
        <v>2</v>
      </c>
      <c r="D31" s="93">
        <v>2.3199999999999998</v>
      </c>
      <c r="E31" s="93">
        <v>3.62</v>
      </c>
      <c r="F31" s="93"/>
      <c r="G31" s="93">
        <f t="shared" si="0"/>
        <v>3.62</v>
      </c>
      <c r="H31" s="28">
        <f>IF(table4[[#This Row],[Net Weight]]&gt;0,IF(A31&lt;31,33-A31,2),2)</f>
        <v>8</v>
      </c>
    </row>
    <row r="32" spans="1:8" ht="15" x14ac:dyDescent="0.2">
      <c r="A32" s="89">
        <v>26</v>
      </c>
      <c r="B32" s="89" t="s">
        <v>268</v>
      </c>
      <c r="C32" s="89">
        <v>2</v>
      </c>
      <c r="D32" s="90">
        <v>0</v>
      </c>
      <c r="E32" s="90">
        <v>3.02</v>
      </c>
      <c r="F32" s="90"/>
      <c r="G32" s="90">
        <f t="shared" si="0"/>
        <v>3.02</v>
      </c>
      <c r="H32" s="28">
        <f>IF(table4[[#This Row],[Net Weight]]&gt;0,IF(A32&lt;31,33-A32,2),2)</f>
        <v>7</v>
      </c>
    </row>
    <row r="33" spans="1:253" ht="15" x14ac:dyDescent="0.2">
      <c r="A33" s="92">
        <v>27</v>
      </c>
      <c r="B33" s="92" t="s">
        <v>269</v>
      </c>
      <c r="C33" s="92">
        <v>1</v>
      </c>
      <c r="D33" s="93">
        <v>1.27</v>
      </c>
      <c r="E33" s="93">
        <v>1.27</v>
      </c>
      <c r="F33" s="93"/>
      <c r="G33" s="93">
        <f t="shared" si="0"/>
        <v>1.27</v>
      </c>
      <c r="H33" s="28">
        <f>IF(table4[[#This Row],[Net Weight]]&gt;0,IF(A33&lt;31,33-A33,2),2)</f>
        <v>6</v>
      </c>
    </row>
    <row r="34" spans="1:253" ht="15" hidden="1" x14ac:dyDescent="0.2">
      <c r="A34" s="89">
        <v>28</v>
      </c>
      <c r="B34" s="107"/>
      <c r="C34" s="107"/>
      <c r="D34" s="110"/>
      <c r="E34" s="110"/>
      <c r="F34" s="110"/>
      <c r="G34" s="110">
        <f t="shared" si="0"/>
        <v>0</v>
      </c>
      <c r="H34" s="28">
        <f>IF(table4[[#This Row],[Net Weight]]&gt;0,IF(A34&lt;31,33-A34,2),2)</f>
        <v>2</v>
      </c>
      <c r="I34" s="29"/>
      <c r="J34" s="29"/>
      <c r="K34" s="29"/>
      <c r="L34" s="30"/>
      <c r="M34" s="3"/>
      <c r="N34" s="30"/>
      <c r="O34" s="31"/>
      <c r="P34" s="28"/>
      <c r="Q34" s="29"/>
      <c r="R34" s="29"/>
      <c r="S34" s="29"/>
      <c r="T34" s="30"/>
      <c r="U34" s="3"/>
      <c r="V34" s="30"/>
      <c r="W34" s="31"/>
      <c r="X34" s="28"/>
      <c r="Y34" s="29"/>
      <c r="Z34" s="29"/>
      <c r="AA34" s="29"/>
      <c r="AB34" s="30"/>
      <c r="AC34" s="3"/>
      <c r="AD34" s="30"/>
      <c r="AE34" s="31"/>
      <c r="AF34" s="28"/>
      <c r="AG34" s="29"/>
      <c r="AH34" s="29"/>
      <c r="AI34" s="29"/>
      <c r="AJ34" s="30"/>
      <c r="AK34" s="3"/>
      <c r="AL34" s="30"/>
      <c r="AM34" s="31"/>
      <c r="AN34" s="28"/>
      <c r="AO34" s="29"/>
      <c r="AP34" s="29"/>
      <c r="AQ34" s="29"/>
      <c r="AR34" s="30"/>
      <c r="AS34" s="3"/>
      <c r="AT34" s="30"/>
      <c r="AU34" s="31"/>
      <c r="AV34" s="28"/>
      <c r="AW34" s="29"/>
      <c r="AX34" s="29"/>
      <c r="AY34" s="29"/>
      <c r="AZ34" s="30"/>
      <c r="BA34" s="3"/>
      <c r="BB34" s="30"/>
      <c r="BC34" s="31"/>
      <c r="BD34" s="28"/>
      <c r="BE34" s="29"/>
      <c r="BF34" s="29"/>
      <c r="BG34" s="29"/>
      <c r="BH34" s="30"/>
      <c r="BI34" s="3"/>
      <c r="BJ34" s="30"/>
      <c r="BK34" s="31"/>
      <c r="BL34" s="28"/>
      <c r="BM34" s="29"/>
      <c r="BN34" s="29"/>
      <c r="BO34" s="29"/>
      <c r="BP34" s="30"/>
      <c r="BQ34" s="3"/>
      <c r="BR34" s="30"/>
      <c r="BS34" s="31"/>
      <c r="BT34" s="28"/>
      <c r="BU34" s="29"/>
      <c r="BV34" s="29"/>
      <c r="BW34" s="29"/>
      <c r="BX34" s="30"/>
      <c r="BY34" s="3"/>
      <c r="BZ34" s="30"/>
      <c r="CA34" s="31"/>
      <c r="CB34" s="28"/>
      <c r="CC34" s="29"/>
      <c r="CD34" s="29"/>
      <c r="CE34" s="29"/>
      <c r="CF34" s="30"/>
      <c r="CG34" s="3"/>
      <c r="CH34" s="30"/>
      <c r="CI34" s="31"/>
      <c r="CJ34" s="28"/>
      <c r="CK34" s="29"/>
      <c r="CL34" s="29"/>
      <c r="CM34" s="29"/>
      <c r="CN34" s="30"/>
      <c r="CO34" s="3"/>
      <c r="CP34" s="30"/>
      <c r="CQ34" s="31"/>
      <c r="CR34" s="28"/>
      <c r="CS34" s="29"/>
      <c r="CT34" s="29"/>
      <c r="CU34" s="29"/>
      <c r="CV34" s="30"/>
      <c r="CW34" s="3"/>
      <c r="CX34" s="30"/>
      <c r="CY34" s="31"/>
      <c r="CZ34" s="28"/>
      <c r="DA34" s="29"/>
      <c r="DB34" s="29"/>
      <c r="DC34" s="29"/>
      <c r="DD34" s="30"/>
      <c r="DE34" s="3"/>
      <c r="DF34" s="30"/>
      <c r="DG34" s="31"/>
      <c r="DH34" s="28"/>
      <c r="DI34" s="29"/>
      <c r="DJ34" s="29"/>
      <c r="DK34" s="29"/>
      <c r="DL34" s="30"/>
      <c r="DM34" s="3"/>
      <c r="DN34" s="30"/>
      <c r="DO34" s="31"/>
      <c r="DP34" s="28"/>
      <c r="DQ34" s="29"/>
      <c r="DR34" s="29"/>
      <c r="DS34" s="29"/>
      <c r="DT34" s="30"/>
      <c r="DU34" s="3"/>
      <c r="DV34" s="30"/>
      <c r="DW34" s="31"/>
      <c r="DX34" s="28"/>
      <c r="DY34" s="29"/>
      <c r="DZ34" s="29"/>
      <c r="EA34" s="29"/>
      <c r="EB34" s="30"/>
      <c r="EC34" s="3"/>
      <c r="ED34" s="30"/>
      <c r="EE34" s="31"/>
      <c r="EF34" s="28"/>
      <c r="EG34" s="29"/>
      <c r="EH34" s="29"/>
      <c r="EI34" s="29"/>
      <c r="EJ34" s="30"/>
      <c r="EK34" s="3"/>
      <c r="EL34" s="30"/>
      <c r="EM34" s="31"/>
      <c r="EN34" s="28"/>
      <c r="EO34" s="29"/>
      <c r="EP34" s="29"/>
      <c r="EQ34" s="29"/>
      <c r="ER34" s="30"/>
      <c r="ES34" s="3"/>
      <c r="ET34" s="30"/>
      <c r="EU34" s="31"/>
      <c r="EV34" s="28"/>
      <c r="EW34" s="29"/>
      <c r="EX34" s="29"/>
      <c r="EY34" s="29"/>
      <c r="EZ34" s="30"/>
      <c r="FA34" s="3"/>
      <c r="FB34" s="30"/>
      <c r="FC34" s="31"/>
      <c r="FD34" s="28"/>
      <c r="FE34" s="29"/>
      <c r="FF34" s="29"/>
      <c r="FG34" s="29"/>
      <c r="FH34" s="30"/>
      <c r="FI34" s="3"/>
      <c r="FJ34" s="30"/>
      <c r="FK34" s="31"/>
      <c r="FL34" s="28"/>
      <c r="FM34" s="29"/>
      <c r="FN34" s="29"/>
      <c r="FO34" s="29"/>
      <c r="FP34" s="30"/>
      <c r="FQ34" s="3"/>
      <c r="FR34" s="30"/>
      <c r="FS34" s="31"/>
      <c r="FT34" s="28"/>
      <c r="FU34" s="29"/>
      <c r="FV34" s="29"/>
      <c r="FW34" s="29"/>
      <c r="FX34" s="30"/>
      <c r="FY34" s="3"/>
      <c r="FZ34" s="30"/>
      <c r="GA34" s="31"/>
      <c r="GB34" s="28"/>
      <c r="GC34" s="29"/>
      <c r="GD34" s="29"/>
      <c r="GE34" s="29"/>
      <c r="GF34" s="30"/>
      <c r="GG34" s="3"/>
      <c r="GH34" s="30"/>
      <c r="GI34" s="31"/>
      <c r="GJ34" s="28"/>
      <c r="GK34" s="29"/>
      <c r="GL34" s="29"/>
      <c r="GM34" s="29"/>
      <c r="GN34" s="30"/>
      <c r="GO34" s="3"/>
      <c r="GP34" s="30"/>
      <c r="GQ34" s="31"/>
      <c r="GR34" s="28"/>
      <c r="GS34" s="29"/>
      <c r="GT34" s="29"/>
      <c r="GU34" s="29"/>
      <c r="GV34" s="30"/>
      <c r="GW34" s="3"/>
      <c r="GX34" s="30"/>
      <c r="GY34" s="31"/>
      <c r="GZ34" s="28"/>
      <c r="HA34" s="29"/>
      <c r="HB34" s="29"/>
      <c r="HC34" s="29"/>
      <c r="HD34" s="30"/>
      <c r="HE34" s="3"/>
      <c r="HF34" s="30"/>
      <c r="HG34" s="31"/>
      <c r="HH34" s="28"/>
      <c r="HI34" s="29"/>
      <c r="HJ34" s="29"/>
      <c r="HK34" s="29"/>
      <c r="HL34" s="30"/>
      <c r="HM34" s="3"/>
      <c r="HN34" s="30"/>
      <c r="HO34" s="31"/>
      <c r="HP34" s="28"/>
      <c r="HQ34" s="29"/>
      <c r="HR34" s="29"/>
      <c r="HS34" s="29"/>
      <c r="HT34" s="30"/>
      <c r="HU34" s="3"/>
      <c r="HV34" s="30"/>
      <c r="HW34" s="31"/>
      <c r="HX34" s="28"/>
      <c r="HY34" s="29"/>
      <c r="HZ34" s="29"/>
      <c r="IA34" s="29"/>
      <c r="IB34" s="30"/>
      <c r="IC34" s="3"/>
      <c r="ID34" s="30"/>
      <c r="IE34" s="31"/>
      <c r="IF34" s="28"/>
      <c r="IG34" s="29"/>
      <c r="IH34" s="29"/>
      <c r="II34" s="29"/>
      <c r="IJ34" s="30"/>
      <c r="IK34" s="3"/>
      <c r="IL34" s="30"/>
      <c r="IM34" s="31"/>
      <c r="IN34" s="28"/>
      <c r="IO34" s="29"/>
      <c r="IP34" s="29"/>
      <c r="IQ34" s="29"/>
      <c r="IR34" s="30"/>
      <c r="IS34" s="3"/>
    </row>
    <row r="35" spans="1:253" ht="15" hidden="1" x14ac:dyDescent="0.2">
      <c r="A35" s="92">
        <v>29</v>
      </c>
      <c r="B35" s="107"/>
      <c r="C35" s="107"/>
      <c r="D35" s="110"/>
      <c r="E35" s="110"/>
      <c r="F35" s="110"/>
      <c r="G35" s="110">
        <f t="shared" si="0"/>
        <v>0</v>
      </c>
      <c r="H35" s="107">
        <f>IF(table4[[#This Row],[Net Weight]]&gt;0,IF(A35&lt;31,33-A35,2),2)</f>
        <v>2</v>
      </c>
    </row>
    <row r="36" spans="1:253" ht="15" hidden="1" x14ac:dyDescent="0.2">
      <c r="A36" s="89">
        <v>33</v>
      </c>
      <c r="B36" s="107"/>
      <c r="C36" s="107"/>
      <c r="D36" s="110"/>
      <c r="E36" s="110"/>
      <c r="F36" s="110"/>
      <c r="G36" s="110">
        <f t="shared" si="0"/>
        <v>0</v>
      </c>
      <c r="H36" s="107">
        <f>IF(table4[[#This Row],[Net Weight]]&gt;0,IF(A36&lt;31,33-A36,2),2)</f>
        <v>2</v>
      </c>
    </row>
    <row r="37" spans="1:253" ht="15" hidden="1" x14ac:dyDescent="0.2">
      <c r="A37" s="92">
        <v>34</v>
      </c>
      <c r="B37" s="107"/>
      <c r="C37" s="107"/>
      <c r="D37" s="110"/>
      <c r="E37" s="110"/>
      <c r="F37" s="110"/>
      <c r="G37" s="110">
        <f t="shared" si="0"/>
        <v>0</v>
      </c>
      <c r="H37" s="107">
        <f>IF(table4[[#This Row],[Net Weight]]&gt;0,IF(A37&lt;31,33-A37,2),2)</f>
        <v>2</v>
      </c>
    </row>
    <row r="38" spans="1:253" ht="15" hidden="1" x14ac:dyDescent="0.2">
      <c r="A38" s="89">
        <v>35</v>
      </c>
      <c r="B38" s="107"/>
      <c r="C38" s="107"/>
      <c r="D38" s="110"/>
      <c r="E38" s="110"/>
      <c r="F38" s="110"/>
      <c r="G38" s="110">
        <f t="shared" si="0"/>
        <v>0</v>
      </c>
      <c r="H38" s="107">
        <f>IF(table4[[#This Row],[Net Weight]]&gt;0,IF(A38&lt;31,33-A38,2),2)</f>
        <v>2</v>
      </c>
    </row>
    <row r="39" spans="1:253" ht="15" hidden="1" x14ac:dyDescent="0.2">
      <c r="A39" s="92">
        <v>36</v>
      </c>
      <c r="B39" s="107"/>
      <c r="C39" s="107"/>
      <c r="D39" s="110"/>
      <c r="E39" s="110"/>
      <c r="F39" s="110"/>
      <c r="G39" s="110">
        <f t="shared" si="0"/>
        <v>0</v>
      </c>
      <c r="H39" s="107">
        <f>IF(table4[[#This Row],[Net Weight]]&gt;0,IF(A39&lt;31,33-A39,2),2)</f>
        <v>2</v>
      </c>
    </row>
    <row r="40" spans="1:253" ht="15" hidden="1" x14ac:dyDescent="0.2">
      <c r="A40" s="89">
        <v>37</v>
      </c>
      <c r="B40" s="107"/>
      <c r="C40" s="107"/>
      <c r="D40" s="110"/>
      <c r="E40" s="110"/>
      <c r="F40" s="110"/>
      <c r="G40" s="110">
        <f t="shared" si="0"/>
        <v>0</v>
      </c>
      <c r="H40" s="107">
        <f>IF(table4[[#This Row],[Net Weight]]&gt;0,IF(A40&lt;31,33-A40,2),2)</f>
        <v>2</v>
      </c>
    </row>
    <row r="41" spans="1:253" ht="13.9" hidden="1" customHeight="1" x14ac:dyDescent="0.2">
      <c r="A41" s="92">
        <v>38</v>
      </c>
      <c r="B41" s="107"/>
      <c r="C41" s="107"/>
      <c r="D41" s="110"/>
      <c r="E41" s="110"/>
      <c r="F41" s="110"/>
      <c r="G41" s="110">
        <f t="shared" si="0"/>
        <v>0</v>
      </c>
      <c r="H41" s="107">
        <f>IF(table4[[#This Row],[Net Weight]]&gt;0,IF(A41&lt;31,33-A41,2),2)</f>
        <v>2</v>
      </c>
    </row>
    <row r="42" spans="1:253" ht="13.9" hidden="1" customHeight="1" x14ac:dyDescent="0.2">
      <c r="A42" s="89">
        <v>39</v>
      </c>
      <c r="B42" s="107"/>
      <c r="C42" s="107"/>
      <c r="D42" s="110"/>
      <c r="E42" s="110"/>
      <c r="F42" s="110"/>
      <c r="G42" s="110">
        <f t="shared" si="0"/>
        <v>0</v>
      </c>
      <c r="H42" s="107">
        <f>IF(table4[[#This Row],[Net Weight]]&gt;0,IF(A42&lt;31,33-A42,2),2)</f>
        <v>2</v>
      </c>
    </row>
    <row r="43" spans="1:253" ht="13.9" hidden="1" customHeight="1" x14ac:dyDescent="0.2">
      <c r="A43" s="92">
        <v>40</v>
      </c>
      <c r="B43" s="107"/>
      <c r="C43" s="107"/>
      <c r="D43" s="110"/>
      <c r="E43" s="110"/>
      <c r="F43" s="110"/>
      <c r="G43" s="110">
        <f t="shared" si="0"/>
        <v>0</v>
      </c>
      <c r="H43" s="107">
        <f>IF(table4[[#This Row],[Net Weight]]&gt;0,IF(A43&lt;31,33-A43,2),2)</f>
        <v>2</v>
      </c>
    </row>
    <row r="44" spans="1:253" ht="13.9" hidden="1" customHeight="1" x14ac:dyDescent="0.2">
      <c r="A44" s="89">
        <v>41</v>
      </c>
      <c r="B44" s="107"/>
      <c r="C44" s="107"/>
      <c r="D44" s="110"/>
      <c r="E44" s="110"/>
      <c r="F44" s="110"/>
      <c r="G44" s="110">
        <f t="shared" si="0"/>
        <v>0</v>
      </c>
      <c r="H44" s="107">
        <f>IF(table4[[#This Row],[Net Weight]]&gt;0,IF(A44&lt;31,33-A44,2),2)</f>
        <v>2</v>
      </c>
    </row>
    <row r="45" spans="1:253" ht="13.9" hidden="1" customHeight="1" x14ac:dyDescent="0.2">
      <c r="A45" s="92">
        <v>42</v>
      </c>
      <c r="B45" s="107"/>
      <c r="C45" s="107"/>
      <c r="D45" s="110"/>
      <c r="E45" s="110"/>
      <c r="F45" s="110"/>
      <c r="G45" s="110">
        <f t="shared" si="0"/>
        <v>0</v>
      </c>
      <c r="H45" s="107">
        <f>IF(table4[[#This Row],[Net Weight]]&gt;0,IF(A45&lt;31,33-A45,2),2)</f>
        <v>2</v>
      </c>
    </row>
    <row r="46" spans="1:253" ht="15" hidden="1" x14ac:dyDescent="0.2">
      <c r="A46" s="89">
        <v>43</v>
      </c>
      <c r="B46" s="107"/>
      <c r="C46" s="107"/>
      <c r="D46" s="110"/>
      <c r="E46" s="110"/>
      <c r="F46" s="110"/>
      <c r="G46" s="110">
        <f t="shared" si="0"/>
        <v>0</v>
      </c>
      <c r="H46" s="107">
        <f>IF(table4[[#This Row],[Net Weight]]&gt;0,IF(A46&lt;31,33-A46,2),2)</f>
        <v>2</v>
      </c>
    </row>
    <row r="47" spans="1:253" ht="15" hidden="1" x14ac:dyDescent="0.2">
      <c r="A47" s="92">
        <v>44</v>
      </c>
      <c r="B47" s="107"/>
      <c r="C47" s="107"/>
      <c r="D47" s="110"/>
      <c r="E47" s="110"/>
      <c r="F47" s="110"/>
      <c r="G47" s="110">
        <f t="shared" si="0"/>
        <v>0</v>
      </c>
      <c r="H47" s="107">
        <f>IF(table4[[#This Row],[Net Weight]]&gt;0,IF(A47&lt;31,33-A47,2),2)</f>
        <v>2</v>
      </c>
    </row>
    <row r="48" spans="1:253" ht="15" hidden="1" x14ac:dyDescent="0.2">
      <c r="A48" s="89">
        <v>45</v>
      </c>
      <c r="B48" s="107"/>
      <c r="C48" s="107"/>
      <c r="D48" s="110"/>
      <c r="E48" s="110"/>
      <c r="F48" s="110"/>
      <c r="G48" s="110">
        <f t="shared" si="0"/>
        <v>0</v>
      </c>
      <c r="H48" s="107">
        <f>IF(table4[[#This Row],[Net Weight]]&gt;0,IF(A48&lt;31,33-A48,2),2)</f>
        <v>2</v>
      </c>
    </row>
    <row r="49" spans="1:8" ht="15" hidden="1" x14ac:dyDescent="0.2">
      <c r="A49" s="92">
        <v>46</v>
      </c>
      <c r="B49" s="107"/>
      <c r="C49" s="107"/>
      <c r="D49" s="110"/>
      <c r="E49" s="110"/>
      <c r="F49" s="110"/>
      <c r="G49" s="110">
        <f t="shared" si="0"/>
        <v>0</v>
      </c>
      <c r="H49" s="107">
        <f>IF(table4[[#This Row],[Net Weight]]&gt;0,IF(A49&lt;31,33-A49,2),2)</f>
        <v>2</v>
      </c>
    </row>
    <row r="50" spans="1:8" ht="15" hidden="1" x14ac:dyDescent="0.2">
      <c r="A50" s="89">
        <v>47</v>
      </c>
      <c r="B50" s="107"/>
      <c r="C50" s="107"/>
      <c r="D50" s="110"/>
      <c r="E50" s="110"/>
      <c r="F50" s="110"/>
      <c r="G50" s="110">
        <f t="shared" si="0"/>
        <v>0</v>
      </c>
      <c r="H50" s="107">
        <f>IF(table4[[#This Row],[Net Weight]]&gt;0,IF(A50&lt;31,33-A50,2),2)</f>
        <v>2</v>
      </c>
    </row>
    <row r="51" spans="1:8" ht="15" hidden="1" x14ac:dyDescent="0.2">
      <c r="A51" s="92">
        <v>48</v>
      </c>
      <c r="B51" s="107"/>
      <c r="C51" s="107"/>
      <c r="D51" s="110"/>
      <c r="E51" s="110"/>
      <c r="F51" s="110"/>
      <c r="G51" s="110">
        <f t="shared" si="0"/>
        <v>0</v>
      </c>
      <c r="H51" s="107">
        <f>IF(table4[[#This Row],[Net Weight]]&gt;0,IF(A51&lt;31,33-A51,2),2)</f>
        <v>2</v>
      </c>
    </row>
    <row r="52" spans="1:8" ht="15" hidden="1" x14ac:dyDescent="0.2">
      <c r="A52" s="89">
        <v>49</v>
      </c>
      <c r="B52" s="107"/>
      <c r="C52" s="107"/>
      <c r="D52" s="110"/>
      <c r="E52" s="110"/>
      <c r="F52" s="110"/>
      <c r="G52" s="110">
        <f t="shared" si="0"/>
        <v>0</v>
      </c>
      <c r="H52" s="107">
        <f>IF(table4[[#This Row],[Net Weight]]&gt;0,IF(A52&lt;31,33-A52,2),2)</f>
        <v>2</v>
      </c>
    </row>
    <row r="53" spans="1:8" ht="15" hidden="1" x14ac:dyDescent="0.2">
      <c r="A53" s="92">
        <v>50</v>
      </c>
      <c r="B53" s="107"/>
      <c r="C53" s="107"/>
      <c r="D53" s="110"/>
      <c r="E53" s="110"/>
      <c r="F53" s="110"/>
      <c r="G53" s="110">
        <f t="shared" si="0"/>
        <v>0</v>
      </c>
      <c r="H53" s="107">
        <f>IF(table4[[#This Row],[Net Weight]]&gt;0,IF(A53&lt;31,33-A53,2),2)</f>
        <v>2</v>
      </c>
    </row>
    <row r="54" spans="1:8" ht="15" x14ac:dyDescent="0.2">
      <c r="A54" s="108">
        <v>28</v>
      </c>
      <c r="B54" s="153" t="s">
        <v>240</v>
      </c>
      <c r="C54" s="153">
        <v>0</v>
      </c>
      <c r="D54" s="154">
        <v>0</v>
      </c>
      <c r="E54" s="154">
        <v>0</v>
      </c>
      <c r="F54" s="154"/>
      <c r="G54" s="154">
        <f>E54-F54</f>
        <v>0</v>
      </c>
      <c r="H54" s="153">
        <f>IF(table4[[#This Row],[Net Weight]]&gt;0,IF(A54&lt;31,33-A54,2),2)</f>
        <v>2</v>
      </c>
    </row>
    <row r="55" spans="1:8" ht="15" x14ac:dyDescent="0.2">
      <c r="A55" s="28"/>
      <c r="B55" s="28"/>
      <c r="C55" s="28"/>
      <c r="D55" s="28"/>
      <c r="E55" s="29"/>
      <c r="F55" s="29"/>
      <c r="G55" s="29"/>
      <c r="H55" s="28"/>
    </row>
    <row r="56" spans="1:8" ht="15" x14ac:dyDescent="0.2">
      <c r="A56" s="160" t="s">
        <v>88</v>
      </c>
      <c r="B56" s="160"/>
      <c r="C56" s="40">
        <f>COUNT(table4[Number of Fish])</f>
        <v>31</v>
      </c>
      <c r="D56" s="40"/>
      <c r="E56" s="40"/>
      <c r="F56" s="41"/>
      <c r="G56" s="41"/>
      <c r="H56" s="49"/>
    </row>
    <row r="57" spans="1:8" ht="15" x14ac:dyDescent="0.2">
      <c r="A57" s="160" t="s">
        <v>89</v>
      </c>
      <c r="B57" s="160"/>
      <c r="C57" s="40">
        <f>SUM(table4[Number of Fish])</f>
        <v>84</v>
      </c>
      <c r="D57" s="40"/>
      <c r="E57" s="40"/>
      <c r="F57" s="41"/>
      <c r="G57" s="41"/>
      <c r="H57" s="49"/>
    </row>
    <row r="58" spans="1:8" ht="15" x14ac:dyDescent="0.2">
      <c r="A58" s="160" t="s">
        <v>90</v>
      </c>
      <c r="B58" s="160"/>
      <c r="C58" s="41">
        <f>SUM(table4[Total Weight])</f>
        <v>212.61999999999995</v>
      </c>
      <c r="D58" s="40"/>
      <c r="E58" s="41"/>
      <c r="F58" s="41"/>
      <c r="G58" s="41"/>
      <c r="H58" s="48"/>
    </row>
    <row r="59" spans="1:8" ht="15" x14ac:dyDescent="0.2">
      <c r="A59" s="160" t="s">
        <v>91</v>
      </c>
      <c r="B59" s="160"/>
      <c r="C59" s="41">
        <f>C58/C57</f>
        <v>2.5311904761904755</v>
      </c>
      <c r="D59" s="40"/>
      <c r="E59" s="50"/>
      <c r="F59" s="41"/>
      <c r="G59" s="41"/>
      <c r="H59" s="48"/>
    </row>
    <row r="60" spans="1:8" ht="15" x14ac:dyDescent="0.2">
      <c r="A60" s="160" t="s">
        <v>92</v>
      </c>
      <c r="B60" s="160"/>
      <c r="C60" s="41">
        <f>C57/C56</f>
        <v>2.7096774193548385</v>
      </c>
      <c r="D60" s="40"/>
      <c r="E60" s="41"/>
      <c r="F60" s="41"/>
      <c r="G60" s="41"/>
      <c r="H60" s="48"/>
    </row>
  </sheetData>
  <sortState ref="B34:B37">
    <sortCondition ref="B34:B37"/>
  </sortState>
  <mergeCells count="7">
    <mergeCell ref="A59:B59"/>
    <mergeCell ref="A60:B60"/>
    <mergeCell ref="A1:H1"/>
    <mergeCell ref="A2:H2"/>
    <mergeCell ref="A56:B56"/>
    <mergeCell ref="A57:B57"/>
    <mergeCell ref="A58:B58"/>
  </mergeCells>
  <phoneticPr fontId="0" type="noConversion"/>
  <conditionalFormatting sqref="B4">
    <cfRule type="duplicateValues" dxfId="13" priority="1"/>
  </conditionalFormatting>
  <printOptions horizontalCentered="1" verticalCentered="1"/>
  <pageMargins left="0.25" right="0.25" top="0.25" bottom="0.25" header="0" footer="0"/>
  <pageSetup scale="83" orientation="landscape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B4:B54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70" zoomScaleNormal="70" workbookViewId="0">
      <selection activeCell="A35" sqref="A35:XFD53"/>
    </sheetView>
  </sheetViews>
  <sheetFormatPr defaultColWidth="9.140625" defaultRowHeight="15.75" x14ac:dyDescent="0.25"/>
  <cols>
    <col min="1" max="1" width="12.85546875" style="5" customWidth="1"/>
    <col min="2" max="2" width="31.85546875" style="1" customWidth="1"/>
    <col min="3" max="3" width="24.85546875" style="57" bestFit="1" customWidth="1"/>
    <col min="4" max="4" width="15.140625" style="57" bestFit="1" customWidth="1"/>
    <col min="5" max="5" width="16.140625" style="1" bestFit="1" customWidth="1"/>
    <col min="6" max="6" width="21.28515625" style="1" bestFit="1" customWidth="1"/>
    <col min="7" max="7" width="19.5703125" style="1" bestFit="1" customWidth="1"/>
    <col min="8" max="8" width="20.42578125" style="1" bestFit="1" customWidth="1"/>
    <col min="9" max="16384" width="9.140625" style="2"/>
  </cols>
  <sheetData>
    <row r="1" spans="1:8" ht="31.5" x14ac:dyDescent="0.6">
      <c r="A1" s="161" t="s">
        <v>292</v>
      </c>
      <c r="B1" s="161"/>
      <c r="C1" s="161"/>
      <c r="D1" s="161"/>
      <c r="E1" s="161"/>
      <c r="F1" s="161"/>
      <c r="G1" s="161"/>
      <c r="H1" s="161"/>
    </row>
    <row r="2" spans="1:8" ht="20.25" x14ac:dyDescent="0.3">
      <c r="A2" s="162" t="s">
        <v>281</v>
      </c>
      <c r="B2" s="162"/>
      <c r="C2" s="162"/>
      <c r="D2" s="162"/>
      <c r="E2" s="162"/>
      <c r="F2" s="162"/>
      <c r="G2" s="162"/>
      <c r="H2" s="162"/>
    </row>
    <row r="3" spans="1:8" s="86" customFormat="1" x14ac:dyDescent="0.25">
      <c r="A3" s="87" t="s">
        <v>183</v>
      </c>
      <c r="B3" s="95" t="s">
        <v>22</v>
      </c>
      <c r="C3" s="96" t="s">
        <v>213</v>
      </c>
      <c r="D3" s="97" t="s">
        <v>181</v>
      </c>
      <c r="E3" s="97" t="s">
        <v>214</v>
      </c>
      <c r="F3" s="97" t="s">
        <v>179</v>
      </c>
      <c r="G3" s="97" t="s">
        <v>215</v>
      </c>
      <c r="H3" s="98" t="s">
        <v>216</v>
      </c>
    </row>
    <row r="4" spans="1:8" ht="15" x14ac:dyDescent="0.2">
      <c r="A4" s="89">
        <v>1</v>
      </c>
      <c r="B4" s="30" t="s">
        <v>189</v>
      </c>
      <c r="C4" s="107">
        <v>4</v>
      </c>
      <c r="D4" s="110">
        <v>2.95</v>
      </c>
      <c r="E4" s="110">
        <v>10.18</v>
      </c>
      <c r="F4" s="110"/>
      <c r="G4" s="110">
        <f t="shared" ref="G4:G34" si="0">E4-F4</f>
        <v>10.18</v>
      </c>
      <c r="H4" s="129">
        <f>IF(table5[[#This Row],[Net Weight]]&gt;0,IF(A4&lt;31,33-A4,2),2)</f>
        <v>32</v>
      </c>
    </row>
    <row r="5" spans="1:8" ht="15" x14ac:dyDescent="0.2">
      <c r="A5" s="92">
        <v>2</v>
      </c>
      <c r="B5" s="107" t="s">
        <v>148</v>
      </c>
      <c r="C5" s="107">
        <v>3</v>
      </c>
      <c r="D5" s="110">
        <v>3.54</v>
      </c>
      <c r="E5" s="110">
        <v>9.5500000000000007</v>
      </c>
      <c r="F5" s="110"/>
      <c r="G5" s="110">
        <f t="shared" si="0"/>
        <v>9.5500000000000007</v>
      </c>
      <c r="H5" s="92">
        <f>IF(table5[[#This Row],[Net Weight]]&gt;0,IF(A5&lt;31,33-A5,2),2)</f>
        <v>31</v>
      </c>
    </row>
    <row r="6" spans="1:8" ht="15" x14ac:dyDescent="0.2">
      <c r="A6" s="89">
        <v>3</v>
      </c>
      <c r="B6" s="107" t="s">
        <v>268</v>
      </c>
      <c r="C6" s="107">
        <v>1</v>
      </c>
      <c r="D6" s="110">
        <v>8.69</v>
      </c>
      <c r="E6" s="110">
        <v>8.69</v>
      </c>
      <c r="F6" s="110"/>
      <c r="G6" s="110">
        <f t="shared" si="0"/>
        <v>8.69</v>
      </c>
      <c r="H6" s="129">
        <f>IF(table5[[#This Row],[Net Weight]]&gt;0,IF(A6&lt;31,33-A6,2),2)</f>
        <v>30</v>
      </c>
    </row>
    <row r="7" spans="1:8" ht="15" x14ac:dyDescent="0.2">
      <c r="A7" s="92">
        <v>4</v>
      </c>
      <c r="B7" s="107" t="s">
        <v>49</v>
      </c>
      <c r="C7" s="107">
        <v>3</v>
      </c>
      <c r="D7" s="110">
        <v>2.71</v>
      </c>
      <c r="E7" s="110">
        <v>6.8</v>
      </c>
      <c r="F7" s="110">
        <v>0.25</v>
      </c>
      <c r="G7" s="110">
        <f t="shared" si="0"/>
        <v>6.55</v>
      </c>
      <c r="H7" s="92">
        <f>IF(table5[[#This Row],[Net Weight]]&gt;0,IF(A7&lt;31,33-A7,2),2)</f>
        <v>29</v>
      </c>
    </row>
    <row r="8" spans="1:8" ht="15" x14ac:dyDescent="0.2">
      <c r="A8" s="89">
        <v>5</v>
      </c>
      <c r="B8" s="107" t="s">
        <v>53</v>
      </c>
      <c r="C8" s="107">
        <v>2</v>
      </c>
      <c r="D8" s="110">
        <v>2.27</v>
      </c>
      <c r="E8" s="110">
        <v>4.9800000000000004</v>
      </c>
      <c r="F8" s="110"/>
      <c r="G8" s="110">
        <f t="shared" si="0"/>
        <v>4.9800000000000004</v>
      </c>
      <c r="H8" s="28">
        <f>IF(table5[[#This Row],[Net Weight]]&gt;0,IF(A8&lt;31,33-A8,2),2)</f>
        <v>28</v>
      </c>
    </row>
    <row r="9" spans="1:8" ht="15" x14ac:dyDescent="0.2">
      <c r="A9" s="92">
        <v>6</v>
      </c>
      <c r="B9" s="107" t="s">
        <v>240</v>
      </c>
      <c r="C9" s="107">
        <v>1</v>
      </c>
      <c r="D9" s="110">
        <v>4.8499999999999996</v>
      </c>
      <c r="E9" s="110">
        <v>4.8499999999999996</v>
      </c>
      <c r="F9" s="110"/>
      <c r="G9" s="110">
        <f t="shared" si="0"/>
        <v>4.8499999999999996</v>
      </c>
      <c r="H9" s="92">
        <f>IF(table5[[#This Row],[Net Weight]]&gt;0,IF(A9&lt;31,33-A9,2),2)</f>
        <v>27</v>
      </c>
    </row>
    <row r="10" spans="1:8" ht="15" x14ac:dyDescent="0.2">
      <c r="A10" s="89">
        <v>7</v>
      </c>
      <c r="B10" s="107" t="s">
        <v>234</v>
      </c>
      <c r="C10" s="107">
        <v>1</v>
      </c>
      <c r="D10" s="110">
        <v>3.51</v>
      </c>
      <c r="E10" s="110">
        <v>3.51</v>
      </c>
      <c r="F10" s="110"/>
      <c r="G10" s="110">
        <f t="shared" si="0"/>
        <v>3.51</v>
      </c>
      <c r="H10" s="28">
        <f>IF(table5[[#This Row],[Net Weight]]&gt;0,IF(A10&lt;31,33-A10,2),2)</f>
        <v>26</v>
      </c>
    </row>
    <row r="11" spans="1:8" ht="15" x14ac:dyDescent="0.2">
      <c r="A11" s="92">
        <v>8</v>
      </c>
      <c r="B11" s="107" t="s">
        <v>255</v>
      </c>
      <c r="C11" s="107">
        <v>1</v>
      </c>
      <c r="D11" s="110">
        <v>3.25</v>
      </c>
      <c r="E11" s="110">
        <v>3.25</v>
      </c>
      <c r="F11" s="110"/>
      <c r="G11" s="110">
        <f t="shared" si="0"/>
        <v>3.25</v>
      </c>
      <c r="H11" s="92">
        <f>IF(table5[[#This Row],[Net Weight]]&gt;0,IF(A11&lt;31,33-A11,2),2)</f>
        <v>25</v>
      </c>
    </row>
    <row r="12" spans="1:8" ht="15" x14ac:dyDescent="0.2">
      <c r="A12" s="89">
        <v>9</v>
      </c>
      <c r="B12" s="107" t="s">
        <v>170</v>
      </c>
      <c r="C12" s="107">
        <v>1</v>
      </c>
      <c r="D12" s="110">
        <v>2.9</v>
      </c>
      <c r="E12" s="110">
        <v>2.9</v>
      </c>
      <c r="F12" s="110"/>
      <c r="G12" s="110">
        <f t="shared" si="0"/>
        <v>2.9</v>
      </c>
      <c r="H12" s="129">
        <f>IF(table5[[#This Row],[Net Weight]]&gt;0,IF(A12&lt;31,33-A12,2),2)</f>
        <v>24</v>
      </c>
    </row>
    <row r="13" spans="1:8" ht="15" x14ac:dyDescent="0.2">
      <c r="A13" s="92">
        <v>10</v>
      </c>
      <c r="B13" s="107" t="s">
        <v>102</v>
      </c>
      <c r="C13" s="107">
        <v>1</v>
      </c>
      <c r="D13" s="110">
        <v>2.67</v>
      </c>
      <c r="E13" s="110">
        <v>2.67</v>
      </c>
      <c r="F13" s="110"/>
      <c r="G13" s="110">
        <f t="shared" si="0"/>
        <v>2.67</v>
      </c>
      <c r="H13" s="156">
        <f>IF(table5[[#This Row],[Net Weight]]&gt;0,IF(A13&lt;31,33-A13,2),2)</f>
        <v>23</v>
      </c>
    </row>
    <row r="14" spans="1:8" ht="15" x14ac:dyDescent="0.2">
      <c r="A14" s="89">
        <v>11</v>
      </c>
      <c r="B14" s="107" t="s">
        <v>35</v>
      </c>
      <c r="C14" s="107">
        <v>1</v>
      </c>
      <c r="D14" s="110">
        <v>2.61</v>
      </c>
      <c r="E14" s="110">
        <v>2.61</v>
      </c>
      <c r="F14" s="110"/>
      <c r="G14" s="110">
        <f t="shared" si="0"/>
        <v>2.61</v>
      </c>
      <c r="H14" s="133">
        <f>IF(table5[[#This Row],[Net Weight]]&gt;0,IF(A14&lt;31,33-A14,2),2)</f>
        <v>22</v>
      </c>
    </row>
    <row r="15" spans="1:8" ht="15" x14ac:dyDescent="0.2">
      <c r="A15" s="92">
        <v>12</v>
      </c>
      <c r="B15" s="107" t="s">
        <v>266</v>
      </c>
      <c r="C15" s="107">
        <v>1</v>
      </c>
      <c r="D15" s="110">
        <v>2.34</v>
      </c>
      <c r="E15" s="110">
        <v>2.34</v>
      </c>
      <c r="F15" s="110"/>
      <c r="G15" s="110">
        <f t="shared" si="0"/>
        <v>2.34</v>
      </c>
      <c r="H15" s="92">
        <f>IF(table5[[#This Row],[Net Weight]]&gt;0,IF(A15&lt;31,33-A15,2),2)</f>
        <v>21</v>
      </c>
    </row>
    <row r="16" spans="1:8" ht="15" x14ac:dyDescent="0.2">
      <c r="A16" s="89">
        <v>13</v>
      </c>
      <c r="B16" s="107" t="s">
        <v>277</v>
      </c>
      <c r="C16" s="107">
        <v>1</v>
      </c>
      <c r="D16" s="110">
        <v>2.3199999999999998</v>
      </c>
      <c r="E16" s="110">
        <v>2.3199999999999998</v>
      </c>
      <c r="F16" s="110"/>
      <c r="G16" s="110">
        <f t="shared" si="0"/>
        <v>2.3199999999999998</v>
      </c>
      <c r="H16" s="129">
        <f>IF(table5[[#This Row],[Net Weight]]&gt;0,IF(A16&lt;31,33-A16,2),2)</f>
        <v>20</v>
      </c>
    </row>
    <row r="17" spans="1:8" s="3" customFormat="1" ht="15" x14ac:dyDescent="0.2">
      <c r="A17" s="107">
        <v>14</v>
      </c>
      <c r="B17" s="123" t="s">
        <v>84</v>
      </c>
      <c r="C17" s="107">
        <v>1</v>
      </c>
      <c r="D17" s="110">
        <v>2.19</v>
      </c>
      <c r="E17" s="110">
        <v>2.19</v>
      </c>
      <c r="F17" s="110"/>
      <c r="G17" s="110">
        <f t="shared" si="0"/>
        <v>2.19</v>
      </c>
      <c r="H17" s="92">
        <f>IF(table5[[#This Row],[Net Weight]]&gt;0,IF(A17&lt;31,33-A17,2),2)</f>
        <v>19</v>
      </c>
    </row>
    <row r="18" spans="1:8" ht="15" x14ac:dyDescent="0.2">
      <c r="A18" s="94">
        <v>15</v>
      </c>
      <c r="B18" s="107" t="s">
        <v>103</v>
      </c>
      <c r="C18" s="107">
        <v>1</v>
      </c>
      <c r="D18" s="110">
        <v>1.95</v>
      </c>
      <c r="E18" s="110">
        <v>1.95</v>
      </c>
      <c r="F18" s="110"/>
      <c r="G18" s="110">
        <f t="shared" si="0"/>
        <v>1.95</v>
      </c>
      <c r="H18" s="129">
        <f>IF(table5[[#This Row],[Net Weight]]&gt;0,IF(A18&lt;31,33-A18,2),2)</f>
        <v>18</v>
      </c>
    </row>
    <row r="19" spans="1:8" s="3" customFormat="1" ht="15" x14ac:dyDescent="0.2">
      <c r="A19" s="107">
        <v>16</v>
      </c>
      <c r="B19" s="107" t="s">
        <v>32</v>
      </c>
      <c r="C19" s="107">
        <v>0</v>
      </c>
      <c r="D19" s="110"/>
      <c r="E19" s="110"/>
      <c r="F19" s="110"/>
      <c r="G19" s="110">
        <f t="shared" si="0"/>
        <v>0</v>
      </c>
      <c r="H19" s="92">
        <f>IF(table5[[#This Row],[Net Weight]]&gt;0,IF(A19&lt;31,33-A19,2),2)</f>
        <v>2</v>
      </c>
    </row>
    <row r="20" spans="1:8" ht="15" x14ac:dyDescent="0.2">
      <c r="A20" s="94">
        <v>17</v>
      </c>
      <c r="B20" s="56" t="s">
        <v>241</v>
      </c>
      <c r="C20" s="107">
        <v>0</v>
      </c>
      <c r="D20" s="110"/>
      <c r="E20" s="110"/>
      <c r="F20" s="110"/>
      <c r="G20" s="110">
        <f t="shared" si="0"/>
        <v>0</v>
      </c>
      <c r="H20" s="28">
        <f>IF(table5[[#This Row],[Net Weight]]&gt;0,IF(A20&lt;31,33-A20,2),2)</f>
        <v>2</v>
      </c>
    </row>
    <row r="21" spans="1:8" s="124" customFormat="1" ht="15" x14ac:dyDescent="0.2">
      <c r="A21" s="107">
        <v>18</v>
      </c>
      <c r="B21" s="108" t="s">
        <v>191</v>
      </c>
      <c r="C21" s="108">
        <v>0</v>
      </c>
      <c r="D21" s="109"/>
      <c r="E21" s="109"/>
      <c r="F21" s="109"/>
      <c r="G21" s="109">
        <f t="shared" si="0"/>
        <v>0</v>
      </c>
      <c r="H21" s="92">
        <f>IF(table5[[#This Row],[Net Weight]]&gt;0,IF(A21&lt;31,33-A21,2),2)</f>
        <v>2</v>
      </c>
    </row>
    <row r="22" spans="1:8" ht="15" x14ac:dyDescent="0.2">
      <c r="A22" s="94">
        <v>19</v>
      </c>
      <c r="B22" s="108" t="s">
        <v>175</v>
      </c>
      <c r="C22" s="108">
        <v>0</v>
      </c>
      <c r="D22" s="109"/>
      <c r="E22" s="109"/>
      <c r="F22" s="109"/>
      <c r="G22" s="109">
        <f t="shared" si="0"/>
        <v>0</v>
      </c>
      <c r="H22" s="28">
        <f>IF(table5[[#This Row],[Net Weight]]&gt;0,IF(A22&lt;31,33-A22,2),2)</f>
        <v>2</v>
      </c>
    </row>
    <row r="23" spans="1:8" s="3" customFormat="1" ht="15" x14ac:dyDescent="0.2">
      <c r="A23" s="107">
        <v>20</v>
      </c>
      <c r="B23" s="107" t="s">
        <v>105</v>
      </c>
      <c r="C23" s="107">
        <v>0</v>
      </c>
      <c r="D23" s="110"/>
      <c r="E23" s="110"/>
      <c r="F23" s="110"/>
      <c r="G23" s="110">
        <f t="shared" si="0"/>
        <v>0</v>
      </c>
      <c r="H23" s="92">
        <f>IF(table5[[#This Row],[Net Weight]]&gt;0,IF(A23&lt;31,33-A23,2),2)</f>
        <v>2</v>
      </c>
    </row>
    <row r="24" spans="1:8" ht="15" x14ac:dyDescent="0.2">
      <c r="A24" s="89">
        <v>21</v>
      </c>
      <c r="B24" s="107" t="s">
        <v>122</v>
      </c>
      <c r="C24" s="107">
        <v>0</v>
      </c>
      <c r="D24" s="110"/>
      <c r="E24" s="110"/>
      <c r="F24" s="110"/>
      <c r="G24" s="110">
        <f t="shared" si="0"/>
        <v>0</v>
      </c>
      <c r="H24" s="28">
        <f>IF(table5[[#This Row],[Net Weight]]&gt;0,IF(A24&lt;31,33-A24,2),2)</f>
        <v>2</v>
      </c>
    </row>
    <row r="25" spans="1:8" s="3" customFormat="1" ht="15" x14ac:dyDescent="0.2">
      <c r="A25" s="107">
        <v>22</v>
      </c>
      <c r="B25" s="107" t="s">
        <v>177</v>
      </c>
      <c r="C25" s="107">
        <v>0</v>
      </c>
      <c r="D25" s="110"/>
      <c r="E25" s="110"/>
      <c r="F25" s="110"/>
      <c r="G25" s="110">
        <f t="shared" si="0"/>
        <v>0</v>
      </c>
      <c r="H25" s="92">
        <f>IF(table5[[#This Row],[Net Weight]]&gt;0,IF(A25&lt;31,33-A25,2),2)</f>
        <v>2</v>
      </c>
    </row>
    <row r="26" spans="1:8" ht="15" x14ac:dyDescent="0.2">
      <c r="A26" s="89">
        <v>23</v>
      </c>
      <c r="B26" s="107" t="s">
        <v>54</v>
      </c>
      <c r="C26" s="107">
        <v>0</v>
      </c>
      <c r="D26" s="110"/>
      <c r="E26" s="110"/>
      <c r="F26" s="110"/>
      <c r="G26" s="110">
        <f t="shared" si="0"/>
        <v>0</v>
      </c>
      <c r="H26" s="28">
        <f>IF(table5[[#This Row],[Net Weight]]&gt;0,IF(A26&lt;31,33-A26,2),2)</f>
        <v>2</v>
      </c>
    </row>
    <row r="27" spans="1:8" s="3" customFormat="1" ht="15" x14ac:dyDescent="0.2">
      <c r="A27" s="107">
        <v>24</v>
      </c>
      <c r="B27" s="107" t="s">
        <v>145</v>
      </c>
      <c r="C27" s="107">
        <v>0</v>
      </c>
      <c r="D27" s="110"/>
      <c r="E27" s="110"/>
      <c r="F27" s="110"/>
      <c r="G27" s="110">
        <f t="shared" si="0"/>
        <v>0</v>
      </c>
      <c r="H27" s="92">
        <f>IF(table5[[#This Row],[Net Weight]]&gt;0,IF(A27&lt;31,33-A27,2),2)</f>
        <v>2</v>
      </c>
    </row>
    <row r="28" spans="1:8" ht="15" x14ac:dyDescent="0.2">
      <c r="A28" s="89">
        <v>25</v>
      </c>
      <c r="B28" s="107" t="s">
        <v>56</v>
      </c>
      <c r="C28" s="107">
        <v>0</v>
      </c>
      <c r="D28" s="110"/>
      <c r="E28" s="110"/>
      <c r="F28" s="110"/>
      <c r="G28" s="110">
        <f t="shared" si="0"/>
        <v>0</v>
      </c>
      <c r="H28" s="28">
        <f>IF(table5[[#This Row],[Net Weight]]&gt;0,IF(A28&lt;31,33-A28,2),2)</f>
        <v>2</v>
      </c>
    </row>
    <row r="29" spans="1:8" s="3" customFormat="1" ht="15" x14ac:dyDescent="0.2">
      <c r="A29" s="107">
        <v>26</v>
      </c>
      <c r="B29" s="107" t="s">
        <v>33</v>
      </c>
      <c r="C29" s="107">
        <v>0</v>
      </c>
      <c r="D29" s="110"/>
      <c r="E29" s="110"/>
      <c r="F29" s="110"/>
      <c r="G29" s="110">
        <f t="shared" si="0"/>
        <v>0</v>
      </c>
      <c r="H29" s="107">
        <f>IF(table5[[#This Row],[Net Weight]]&gt;0,IF(A29&lt;31,33-A29,2),2)</f>
        <v>2</v>
      </c>
    </row>
    <row r="30" spans="1:8" ht="15" x14ac:dyDescent="0.2">
      <c r="A30" s="89">
        <v>27</v>
      </c>
      <c r="B30" s="107" t="s">
        <v>104</v>
      </c>
      <c r="C30" s="107">
        <v>0</v>
      </c>
      <c r="D30" s="110"/>
      <c r="E30" s="110"/>
      <c r="F30" s="110"/>
      <c r="G30" s="110">
        <f t="shared" si="0"/>
        <v>0</v>
      </c>
      <c r="H30" s="28">
        <f>IF(table5[[#This Row],[Net Weight]]&gt;0,IF(A30&lt;31,33-A30,2),2)</f>
        <v>2</v>
      </c>
    </row>
    <row r="31" spans="1:8" ht="15" x14ac:dyDescent="0.2">
      <c r="A31" s="107">
        <v>28</v>
      </c>
      <c r="B31" s="134" t="s">
        <v>48</v>
      </c>
      <c r="C31" s="134">
        <v>0</v>
      </c>
      <c r="D31" s="135"/>
      <c r="E31" s="135"/>
      <c r="F31" s="135"/>
      <c r="G31" s="135">
        <f t="shared" si="0"/>
        <v>0</v>
      </c>
      <c r="H31" s="134">
        <f>IF(table5[[#This Row],[Net Weight]]&gt;0,IF(A31&lt;31,33-A31,2),2)</f>
        <v>2</v>
      </c>
    </row>
    <row r="32" spans="1:8" ht="15" x14ac:dyDescent="0.2">
      <c r="A32" s="89">
        <v>29</v>
      </c>
      <c r="B32" s="144" t="s">
        <v>31</v>
      </c>
      <c r="C32" s="144">
        <v>0</v>
      </c>
      <c r="D32" s="145"/>
      <c r="E32" s="145"/>
      <c r="F32" s="145"/>
      <c r="G32" s="145">
        <f t="shared" si="0"/>
        <v>0</v>
      </c>
      <c r="H32" s="144">
        <f>IF(table5[[#This Row],[Net Weight]]&gt;0,IF(A32&lt;31,33-A32,2),2)</f>
        <v>2</v>
      </c>
    </row>
    <row r="33" spans="1:8" ht="15" x14ac:dyDescent="0.2">
      <c r="A33" s="107">
        <v>30</v>
      </c>
      <c r="B33" s="144" t="s">
        <v>269</v>
      </c>
      <c r="C33" s="144">
        <v>0</v>
      </c>
      <c r="D33" s="145"/>
      <c r="E33" s="145"/>
      <c r="F33" s="145"/>
      <c r="G33" s="145">
        <f t="shared" si="0"/>
        <v>0</v>
      </c>
      <c r="H33" s="144">
        <f>IF(table5[[#This Row],[Net Weight]]&gt;0,IF(A33&lt;31,33-A33,2),2)</f>
        <v>2</v>
      </c>
    </row>
    <row r="34" spans="1:8" ht="15" x14ac:dyDescent="0.2">
      <c r="A34" s="89">
        <v>31</v>
      </c>
      <c r="B34" s="144"/>
      <c r="C34" s="144"/>
      <c r="D34" s="145"/>
      <c r="E34" s="145"/>
      <c r="F34" s="145"/>
      <c r="G34" s="145">
        <f t="shared" si="0"/>
        <v>0</v>
      </c>
      <c r="H34" s="144">
        <f>IF(table5[[#This Row],[Net Weight]]&gt;0,IF(A34&lt;31,33-A34,2),2)</f>
        <v>2</v>
      </c>
    </row>
    <row r="35" spans="1:8" ht="15" x14ac:dyDescent="0.2">
      <c r="A35" s="108"/>
      <c r="B35" s="108"/>
      <c r="C35" s="108"/>
      <c r="D35" s="109"/>
      <c r="E35" s="109"/>
      <c r="F35" s="109"/>
      <c r="G35" s="109"/>
      <c r="H35" s="108"/>
    </row>
    <row r="36" spans="1:8" ht="15" x14ac:dyDescent="0.2">
      <c r="A36" s="28"/>
      <c r="B36" s="28"/>
      <c r="C36" s="28"/>
      <c r="D36" s="28"/>
      <c r="E36" s="29"/>
      <c r="F36" s="29"/>
      <c r="G36" s="29"/>
      <c r="H36" s="28"/>
    </row>
    <row r="37" spans="1:8" ht="15" x14ac:dyDescent="0.2">
      <c r="A37" s="160" t="s">
        <v>88</v>
      </c>
      <c r="B37" s="160"/>
      <c r="C37" s="40">
        <f>COUNT(table5[Number of Fish])</f>
        <v>30</v>
      </c>
      <c r="D37" s="40"/>
      <c r="E37" s="40"/>
      <c r="F37" s="41"/>
      <c r="G37" s="41"/>
      <c r="H37" s="49"/>
    </row>
    <row r="38" spans="1:8" ht="15" x14ac:dyDescent="0.2">
      <c r="A38" s="160" t="s">
        <v>89</v>
      </c>
      <c r="B38" s="160"/>
      <c r="C38" s="40">
        <f>SUM(table5[Number of Fish])</f>
        <v>23</v>
      </c>
      <c r="D38" s="40"/>
      <c r="E38" s="40"/>
      <c r="F38" s="41"/>
      <c r="G38" s="41"/>
      <c r="H38" s="49"/>
    </row>
    <row r="39" spans="1:8" ht="15" x14ac:dyDescent="0.2">
      <c r="A39" s="160" t="s">
        <v>90</v>
      </c>
      <c r="B39" s="160"/>
      <c r="C39" s="41">
        <f>SUM(table5[Total Weight])</f>
        <v>68.789999999999992</v>
      </c>
      <c r="D39" s="40"/>
      <c r="E39" s="41"/>
      <c r="F39" s="41"/>
      <c r="G39" s="41"/>
      <c r="H39" s="48"/>
    </row>
    <row r="40" spans="1:8" ht="15" x14ac:dyDescent="0.2">
      <c r="A40" s="160" t="s">
        <v>91</v>
      </c>
      <c r="B40" s="160"/>
      <c r="C40" s="41">
        <f>C39/C38</f>
        <v>2.9908695652173911</v>
      </c>
      <c r="D40" s="40"/>
      <c r="E40" s="50"/>
      <c r="F40" s="41"/>
      <c r="G40" s="41"/>
      <c r="H40" s="48"/>
    </row>
    <row r="41" spans="1:8" ht="15" x14ac:dyDescent="0.2">
      <c r="A41" s="160" t="s">
        <v>92</v>
      </c>
      <c r="B41" s="160"/>
      <c r="C41" s="40">
        <f>C38/C37</f>
        <v>0.76666666666666672</v>
      </c>
      <c r="D41" s="40"/>
      <c r="E41" s="41"/>
      <c r="F41" s="41"/>
      <c r="G41" s="41"/>
      <c r="H41" s="48"/>
    </row>
  </sheetData>
  <mergeCells count="7">
    <mergeCell ref="A41:B41"/>
    <mergeCell ref="A1:H1"/>
    <mergeCell ref="A2:H2"/>
    <mergeCell ref="A37:B37"/>
    <mergeCell ref="A38:B38"/>
    <mergeCell ref="A39:B39"/>
    <mergeCell ref="A40:B40"/>
  </mergeCells>
  <conditionalFormatting sqref="B4">
    <cfRule type="duplicateValues" dxfId="12" priority="1"/>
  </conditionalFormatting>
  <printOptions horizontalCentered="1" verticalCentered="1"/>
  <pageMargins left="0.25" right="0.25" top="0.25" bottom="0.25" header="0" footer="0"/>
  <pageSetup scale="64" orientation="landscape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B4:B34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59"/>
  <sheetViews>
    <sheetView topLeftCell="A28" zoomScale="70" zoomScaleNormal="70" workbookViewId="0">
      <selection activeCell="E8" sqref="E8"/>
    </sheetView>
  </sheetViews>
  <sheetFormatPr defaultColWidth="9.140625" defaultRowHeight="15.75" x14ac:dyDescent="0.25"/>
  <cols>
    <col min="1" max="1" width="8.42578125" style="5" customWidth="1"/>
    <col min="2" max="2" width="26.7109375" style="75" customWidth="1"/>
    <col min="3" max="3" width="22.85546875" style="1" customWidth="1"/>
    <col min="4" max="7" width="18.5703125" style="1" customWidth="1"/>
    <col min="8" max="8" width="18.42578125" style="1" customWidth="1"/>
    <col min="9" max="9" width="9.140625" style="2"/>
    <col min="10" max="10" width="8" style="2" bestFit="1" customWidth="1"/>
    <col min="11" max="16384" width="9.140625" style="2"/>
  </cols>
  <sheetData>
    <row r="1" spans="1:8" ht="31.5" x14ac:dyDescent="0.6">
      <c r="A1" s="173" t="s">
        <v>61</v>
      </c>
      <c r="B1" s="173"/>
      <c r="C1" s="173"/>
      <c r="D1" s="173"/>
      <c r="E1" s="173"/>
      <c r="F1" s="173"/>
      <c r="G1" s="173"/>
      <c r="H1" s="173"/>
    </row>
    <row r="2" spans="1:8" ht="20.25" x14ac:dyDescent="0.3">
      <c r="A2" s="174" t="s">
        <v>261</v>
      </c>
      <c r="B2" s="174"/>
      <c r="C2" s="174"/>
      <c r="D2" s="174"/>
      <c r="E2" s="174"/>
      <c r="F2" s="174"/>
      <c r="G2" s="174"/>
      <c r="H2" s="174"/>
    </row>
    <row r="3" spans="1:8" x14ac:dyDescent="0.25">
      <c r="A3" s="87" t="s">
        <v>183</v>
      </c>
      <c r="B3" s="95" t="s">
        <v>22</v>
      </c>
      <c r="C3" s="96" t="s">
        <v>213</v>
      </c>
      <c r="D3" s="97" t="s">
        <v>181</v>
      </c>
      <c r="E3" s="97" t="s">
        <v>214</v>
      </c>
      <c r="F3" s="97" t="s">
        <v>179</v>
      </c>
      <c r="G3" s="97" t="s">
        <v>215</v>
      </c>
      <c r="H3" s="98" t="s">
        <v>216</v>
      </c>
    </row>
    <row r="4" spans="1:8" ht="15" x14ac:dyDescent="0.2">
      <c r="A4" s="89">
        <v>1</v>
      </c>
      <c r="B4" s="30"/>
      <c r="C4" s="89"/>
      <c r="D4" s="90"/>
      <c r="E4" s="90"/>
      <c r="F4" s="90"/>
      <c r="G4" s="90">
        <f t="shared" ref="G4:G31" si="0">E4-F4</f>
        <v>0</v>
      </c>
      <c r="H4" s="28">
        <f>IF(table6[[#This Row],[Net Weight]]&gt;0,IF(A4&lt;31,33-A4,2),2)</f>
        <v>2</v>
      </c>
    </row>
    <row r="5" spans="1:8" s="3" customFormat="1" ht="15" x14ac:dyDescent="0.2">
      <c r="A5" s="92">
        <v>2</v>
      </c>
      <c r="B5" s="92"/>
      <c r="C5" s="92"/>
      <c r="D5" s="93"/>
      <c r="E5" s="93"/>
      <c r="F5" s="93"/>
      <c r="G5" s="93">
        <f t="shared" si="0"/>
        <v>0</v>
      </c>
      <c r="H5" s="28">
        <f>IF(table6[[#This Row],[Net Weight]]&gt;0,IF(A5&lt;31,33-A5,2),2)</f>
        <v>2</v>
      </c>
    </row>
    <row r="6" spans="1:8" s="3" customFormat="1" ht="15" x14ac:dyDescent="0.2">
      <c r="A6" s="89">
        <v>3</v>
      </c>
      <c r="B6" s="89"/>
      <c r="C6" s="89"/>
      <c r="D6" s="90"/>
      <c r="E6" s="90"/>
      <c r="F6" s="90"/>
      <c r="G6" s="90">
        <f t="shared" si="0"/>
        <v>0</v>
      </c>
      <c r="H6" s="28">
        <f>IF(table6[[#This Row],[Net Weight]]&gt;0,IF(A6&lt;31,33-A6,2),2)</f>
        <v>2</v>
      </c>
    </row>
    <row r="7" spans="1:8" s="3" customFormat="1" ht="15" x14ac:dyDescent="0.2">
      <c r="A7" s="92">
        <v>4</v>
      </c>
      <c r="B7" s="92"/>
      <c r="C7" s="92"/>
      <c r="D7" s="93"/>
      <c r="E7" s="93"/>
      <c r="F7" s="93"/>
      <c r="G7" s="93">
        <f t="shared" si="0"/>
        <v>0</v>
      </c>
      <c r="H7" s="28">
        <f>IF(table6[[#This Row],[Net Weight]]&gt;0,IF(A7&lt;31,33-A7,2),2)</f>
        <v>2</v>
      </c>
    </row>
    <row r="8" spans="1:8" s="3" customFormat="1" ht="15" x14ac:dyDescent="0.2">
      <c r="A8" s="89">
        <v>5</v>
      </c>
      <c r="B8" s="89"/>
      <c r="C8" s="89"/>
      <c r="D8" s="90"/>
      <c r="E8" s="90"/>
      <c r="F8" s="90"/>
      <c r="G8" s="90">
        <f t="shared" si="0"/>
        <v>0</v>
      </c>
      <c r="H8" s="28">
        <f>IF(table6[[#This Row],[Net Weight]]&gt;0,IF(A8&lt;31,33-A8,2),2)</f>
        <v>2</v>
      </c>
    </row>
    <row r="9" spans="1:8" s="3" customFormat="1" ht="15" x14ac:dyDescent="0.2">
      <c r="A9" s="92">
        <v>6</v>
      </c>
      <c r="B9" s="92"/>
      <c r="C9" s="92"/>
      <c r="D9" s="93"/>
      <c r="E9" s="93"/>
      <c r="F9" s="93"/>
      <c r="G9" s="93">
        <f t="shared" si="0"/>
        <v>0</v>
      </c>
      <c r="H9" s="28">
        <f>IF(table6[[#This Row],[Net Weight]]&gt;0,IF(A9&lt;31,33-A9,2),2)</f>
        <v>2</v>
      </c>
    </row>
    <row r="10" spans="1:8" s="3" customFormat="1" ht="15" x14ac:dyDescent="0.2">
      <c r="A10" s="89">
        <v>7</v>
      </c>
      <c r="B10" s="89"/>
      <c r="C10" s="89"/>
      <c r="D10" s="90"/>
      <c r="E10" s="90"/>
      <c r="F10" s="90"/>
      <c r="G10" s="90">
        <f t="shared" si="0"/>
        <v>0</v>
      </c>
      <c r="H10" s="28">
        <f>IF(table6[[#This Row],[Net Weight]]&gt;0,IF(A10&lt;31,33-A10,2),2)</f>
        <v>2</v>
      </c>
    </row>
    <row r="11" spans="1:8" s="3" customFormat="1" ht="15" x14ac:dyDescent="0.2">
      <c r="A11" s="92">
        <v>8</v>
      </c>
      <c r="B11" s="92"/>
      <c r="C11" s="92"/>
      <c r="D11" s="93"/>
      <c r="E11" s="93"/>
      <c r="F11" s="93"/>
      <c r="G11" s="93">
        <f t="shared" si="0"/>
        <v>0</v>
      </c>
      <c r="H11" s="28">
        <f>IF(table6[[#This Row],[Net Weight]]&gt;0,IF(A11&lt;31,33-A11,2),2)</f>
        <v>2</v>
      </c>
    </row>
    <row r="12" spans="1:8" s="3" customFormat="1" ht="15" x14ac:dyDescent="0.2">
      <c r="A12" s="89">
        <v>9</v>
      </c>
      <c r="B12" s="89"/>
      <c r="C12" s="89"/>
      <c r="D12" s="90"/>
      <c r="E12" s="90"/>
      <c r="F12" s="90"/>
      <c r="G12" s="90">
        <f t="shared" si="0"/>
        <v>0</v>
      </c>
      <c r="H12" s="28">
        <f>IF(table6[[#This Row],[Net Weight]]&gt;0,IF(A12&lt;31,33-A12,2),2)</f>
        <v>2</v>
      </c>
    </row>
    <row r="13" spans="1:8" s="3" customFormat="1" ht="15" x14ac:dyDescent="0.2">
      <c r="A13" s="92">
        <v>10</v>
      </c>
      <c r="B13" s="92"/>
      <c r="C13" s="92"/>
      <c r="D13" s="93"/>
      <c r="E13" s="93"/>
      <c r="F13" s="93"/>
      <c r="G13" s="93">
        <f t="shared" si="0"/>
        <v>0</v>
      </c>
      <c r="H13" s="28">
        <f>IF(table6[[#This Row],[Net Weight]]&gt;0,IF(A13&lt;31,33-A13,2),2)</f>
        <v>2</v>
      </c>
    </row>
    <row r="14" spans="1:8" s="3" customFormat="1" ht="15" x14ac:dyDescent="0.2">
      <c r="A14" s="89">
        <v>11</v>
      </c>
      <c r="B14" s="89"/>
      <c r="C14" s="89"/>
      <c r="D14" s="90"/>
      <c r="E14" s="90"/>
      <c r="F14" s="90"/>
      <c r="G14" s="90">
        <f t="shared" si="0"/>
        <v>0</v>
      </c>
      <c r="H14" s="28">
        <f>IF(table6[[#This Row],[Net Weight]]&gt;0,IF(A14&lt;31,33-A14,2),2)</f>
        <v>2</v>
      </c>
    </row>
    <row r="15" spans="1:8" s="3" customFormat="1" ht="15" x14ac:dyDescent="0.2">
      <c r="A15" s="92">
        <v>12</v>
      </c>
      <c r="B15" s="92"/>
      <c r="C15" s="92"/>
      <c r="D15" s="93"/>
      <c r="E15" s="93"/>
      <c r="F15" s="93"/>
      <c r="G15" s="93">
        <f t="shared" si="0"/>
        <v>0</v>
      </c>
      <c r="H15" s="28">
        <f>IF(table6[[#This Row],[Net Weight]]&gt;0,IF(A15&lt;31,33-A15,2),2)</f>
        <v>2</v>
      </c>
    </row>
    <row r="16" spans="1:8" s="3" customFormat="1" ht="15" x14ac:dyDescent="0.2">
      <c r="A16" s="89">
        <v>13</v>
      </c>
      <c r="B16" s="89"/>
      <c r="C16" s="89"/>
      <c r="D16" s="90"/>
      <c r="E16" s="90"/>
      <c r="F16" s="90"/>
      <c r="G16" s="90">
        <f t="shared" si="0"/>
        <v>0</v>
      </c>
      <c r="H16" s="28">
        <f>IF(table6[[#This Row],[Net Weight]]&gt;0,IF(A16&lt;31,33-A16,2),2)</f>
        <v>2</v>
      </c>
    </row>
    <row r="17" spans="1:8" s="3" customFormat="1" ht="15" x14ac:dyDescent="0.2">
      <c r="A17" s="92">
        <v>14</v>
      </c>
      <c r="B17" s="92"/>
      <c r="C17" s="92"/>
      <c r="D17" s="93"/>
      <c r="E17" s="93"/>
      <c r="F17" s="93"/>
      <c r="G17" s="93">
        <f t="shared" si="0"/>
        <v>0</v>
      </c>
      <c r="H17" s="28">
        <f>IF(table6[[#This Row],[Net Weight]]&gt;0,IF(A17&lt;31,33-A17,2),2)</f>
        <v>2</v>
      </c>
    </row>
    <row r="18" spans="1:8" s="3" customFormat="1" ht="15" x14ac:dyDescent="0.2">
      <c r="A18" s="94">
        <v>15</v>
      </c>
      <c r="B18" s="94"/>
      <c r="C18" s="89"/>
      <c r="D18" s="90"/>
      <c r="E18" s="90"/>
      <c r="F18" s="90"/>
      <c r="G18" s="90">
        <f t="shared" si="0"/>
        <v>0</v>
      </c>
      <c r="H18" s="28">
        <f>IF(table6[[#This Row],[Net Weight]]&gt;0,IF(A18&lt;31,33-A18,2),2)</f>
        <v>2</v>
      </c>
    </row>
    <row r="19" spans="1:8" s="3" customFormat="1" ht="15" x14ac:dyDescent="0.2">
      <c r="A19" s="92">
        <v>16</v>
      </c>
      <c r="B19" s="92"/>
      <c r="C19" s="92"/>
      <c r="D19" s="93"/>
      <c r="E19" s="93"/>
      <c r="F19" s="93"/>
      <c r="G19" s="93">
        <f t="shared" si="0"/>
        <v>0</v>
      </c>
      <c r="H19" s="28">
        <f>IF(table6[[#This Row],[Net Weight]]&gt;0,IF(A19&lt;31,33-A19,2),2)</f>
        <v>2</v>
      </c>
    </row>
    <row r="20" spans="1:8" s="3" customFormat="1" ht="15" x14ac:dyDescent="0.2">
      <c r="A20" s="89">
        <v>17</v>
      </c>
      <c r="B20" s="89"/>
      <c r="C20" s="89"/>
      <c r="D20" s="90"/>
      <c r="E20" s="90"/>
      <c r="F20" s="90"/>
      <c r="G20" s="90">
        <f t="shared" si="0"/>
        <v>0</v>
      </c>
      <c r="H20" s="28">
        <f>IF(table6[[#This Row],[Net Weight]]&gt;0,IF(A20&lt;31,33-A20,2),2)</f>
        <v>2</v>
      </c>
    </row>
    <row r="21" spans="1:8" s="3" customFormat="1" ht="15" x14ac:dyDescent="0.2">
      <c r="A21" s="92">
        <v>18</v>
      </c>
      <c r="B21" s="92"/>
      <c r="C21" s="92"/>
      <c r="D21" s="93"/>
      <c r="E21" s="93"/>
      <c r="F21" s="93"/>
      <c r="G21" s="93">
        <f t="shared" si="0"/>
        <v>0</v>
      </c>
      <c r="H21" s="28">
        <f>IF(table6[[#This Row],[Net Weight]]&gt;0,IF(A21&lt;31,33-A21,2),2)</f>
        <v>2</v>
      </c>
    </row>
    <row r="22" spans="1:8" s="3" customFormat="1" ht="15" x14ac:dyDescent="0.2">
      <c r="A22" s="89">
        <v>19</v>
      </c>
      <c r="B22" s="89"/>
      <c r="C22" s="89"/>
      <c r="D22" s="90"/>
      <c r="E22" s="90"/>
      <c r="F22" s="90"/>
      <c r="G22" s="90">
        <f t="shared" si="0"/>
        <v>0</v>
      </c>
      <c r="H22" s="28">
        <f>IF(table6[[#This Row],[Net Weight]]&gt;0,IF(A22&lt;31,33-A22,2),2)</f>
        <v>2</v>
      </c>
    </row>
    <row r="23" spans="1:8" s="3" customFormat="1" ht="15" x14ac:dyDescent="0.2">
      <c r="A23" s="92">
        <v>20</v>
      </c>
      <c r="B23" s="92"/>
      <c r="C23" s="92"/>
      <c r="D23" s="93"/>
      <c r="E23" s="93"/>
      <c r="F23" s="93"/>
      <c r="G23" s="93">
        <f t="shared" si="0"/>
        <v>0</v>
      </c>
      <c r="H23" s="28">
        <f>IF(table6[[#This Row],[Net Weight]]&gt;0,IF(A23&lt;31,33-A23,2),2)</f>
        <v>2</v>
      </c>
    </row>
    <row r="24" spans="1:8" s="3" customFormat="1" ht="15" x14ac:dyDescent="0.2">
      <c r="A24" s="89">
        <v>21</v>
      </c>
      <c r="B24" s="89"/>
      <c r="C24" s="89"/>
      <c r="D24" s="90"/>
      <c r="E24" s="90"/>
      <c r="F24" s="90"/>
      <c r="G24" s="90">
        <f t="shared" si="0"/>
        <v>0</v>
      </c>
      <c r="H24" s="28">
        <f>IF(table6[[#This Row],[Net Weight]]&gt;0,IF(A24&lt;31,33-A24,2),2)</f>
        <v>2</v>
      </c>
    </row>
    <row r="25" spans="1:8" s="3" customFormat="1" ht="15" x14ac:dyDescent="0.2">
      <c r="A25" s="92">
        <v>22</v>
      </c>
      <c r="B25" s="92"/>
      <c r="C25" s="92"/>
      <c r="D25" s="93"/>
      <c r="E25" s="93"/>
      <c r="F25" s="93"/>
      <c r="G25" s="93">
        <f t="shared" si="0"/>
        <v>0</v>
      </c>
      <c r="H25" s="28">
        <f>IF(table6[[#This Row],[Net Weight]]&gt;0,IF(A25&lt;31,33-A25,2),2)</f>
        <v>2</v>
      </c>
    </row>
    <row r="26" spans="1:8" s="3" customFormat="1" ht="15" x14ac:dyDescent="0.2">
      <c r="A26" s="89">
        <v>23</v>
      </c>
      <c r="B26" s="89"/>
      <c r="C26" s="89"/>
      <c r="D26" s="90"/>
      <c r="E26" s="90"/>
      <c r="F26" s="90"/>
      <c r="G26" s="90">
        <f t="shared" si="0"/>
        <v>0</v>
      </c>
      <c r="H26" s="28">
        <f>IF(table6[[#This Row],[Net Weight]]&gt;0,IF(A26&lt;31,33-A26,2),2)</f>
        <v>2</v>
      </c>
    </row>
    <row r="27" spans="1:8" s="3" customFormat="1" ht="15" x14ac:dyDescent="0.2">
      <c r="A27" s="92">
        <v>24</v>
      </c>
      <c r="B27" s="92"/>
      <c r="C27" s="92"/>
      <c r="D27" s="93"/>
      <c r="E27" s="93"/>
      <c r="F27" s="93"/>
      <c r="G27" s="93">
        <f t="shared" si="0"/>
        <v>0</v>
      </c>
      <c r="H27" s="28">
        <f>IF(table6[[#This Row],[Net Weight]]&gt;0,IF(A27&lt;31,33-A27,2),2)</f>
        <v>2</v>
      </c>
    </row>
    <row r="28" spans="1:8" s="3" customFormat="1" ht="15" x14ac:dyDescent="0.2">
      <c r="A28" s="89">
        <v>25</v>
      </c>
      <c r="B28" s="89"/>
      <c r="C28" s="89"/>
      <c r="D28" s="90"/>
      <c r="E28" s="90"/>
      <c r="F28" s="90"/>
      <c r="G28" s="90">
        <f t="shared" si="0"/>
        <v>0</v>
      </c>
      <c r="H28" s="28">
        <f>IF(table6[[#This Row],[Net Weight]]&gt;0,IF(A28&lt;31,33-A28,2),2)</f>
        <v>2</v>
      </c>
    </row>
    <row r="29" spans="1:8" s="3" customFormat="1" ht="15" x14ac:dyDescent="0.2">
      <c r="A29" s="92">
        <v>26</v>
      </c>
      <c r="B29" s="92"/>
      <c r="C29" s="92"/>
      <c r="D29" s="93"/>
      <c r="E29" s="93"/>
      <c r="F29" s="93"/>
      <c r="G29" s="93">
        <f t="shared" si="0"/>
        <v>0</v>
      </c>
      <c r="H29" s="28">
        <f>IF(table6[[#This Row],[Net Weight]]&gt;0,IF(A29&lt;31,33-A29,2),2)</f>
        <v>2</v>
      </c>
    </row>
    <row r="30" spans="1:8" s="3" customFormat="1" ht="15" x14ac:dyDescent="0.2">
      <c r="A30" s="89">
        <v>27</v>
      </c>
      <c r="B30" s="107"/>
      <c r="C30" s="107"/>
      <c r="D30" s="110"/>
      <c r="E30" s="110"/>
      <c r="F30" s="110"/>
      <c r="G30" s="110">
        <f t="shared" si="0"/>
        <v>0</v>
      </c>
      <c r="H30" s="28">
        <f>IF(table6[[#This Row],[Net Weight]]&gt;0,IF(A30&lt;31,33-A30,2),2)</f>
        <v>2</v>
      </c>
    </row>
    <row r="31" spans="1:8" s="3" customFormat="1" ht="15" x14ac:dyDescent="0.2">
      <c r="A31" s="92">
        <v>28</v>
      </c>
      <c r="B31" s="107"/>
      <c r="C31" s="107"/>
      <c r="D31" s="110"/>
      <c r="E31" s="110"/>
      <c r="F31" s="110"/>
      <c r="G31" s="110">
        <f t="shared" si="0"/>
        <v>0</v>
      </c>
      <c r="H31" s="28">
        <f>IF(table6[[#This Row],[Net Weight]]&gt;0,IF(A31&lt;31,33-A31,2),2)</f>
        <v>2</v>
      </c>
    </row>
    <row r="32" spans="1:8" s="3" customFormat="1" ht="15" x14ac:dyDescent="0.2">
      <c r="A32" s="89">
        <v>29</v>
      </c>
      <c r="B32" s="134"/>
      <c r="C32" s="134"/>
      <c r="D32" s="135"/>
      <c r="E32" s="135"/>
      <c r="F32" s="135"/>
      <c r="G32" s="135">
        <f t="shared" ref="G32:G53" si="1">E32-F32</f>
        <v>0</v>
      </c>
      <c r="H32" s="28">
        <f>IF(table6[[#This Row],[Net Weight]]&gt;0,IF(A32&lt;31,33-A32,2),2)</f>
        <v>2</v>
      </c>
    </row>
    <row r="33" spans="1:8" s="3" customFormat="1" ht="15" x14ac:dyDescent="0.2">
      <c r="A33" s="92">
        <v>30</v>
      </c>
      <c r="B33" s="144"/>
      <c r="C33" s="144"/>
      <c r="D33" s="145"/>
      <c r="E33" s="145"/>
      <c r="F33" s="145"/>
      <c r="G33" s="145">
        <f t="shared" si="1"/>
        <v>0</v>
      </c>
      <c r="H33" s="28">
        <f>IF(table6[[#This Row],[Net Weight]]&gt;0,IF(A33&lt;31,33-A33,2),2)</f>
        <v>2</v>
      </c>
    </row>
    <row r="34" spans="1:8" s="3" customFormat="1" ht="15" x14ac:dyDescent="0.2">
      <c r="A34" s="89">
        <v>31</v>
      </c>
      <c r="B34" s="144"/>
      <c r="C34" s="144"/>
      <c r="D34" s="145"/>
      <c r="E34" s="145"/>
      <c r="F34" s="145"/>
      <c r="G34" s="145">
        <f t="shared" si="1"/>
        <v>0</v>
      </c>
      <c r="H34" s="28">
        <f>IF(table6[[#This Row],[Net Weight]]&gt;0,IF(A34&lt;31,33-A34,2),2)</f>
        <v>2</v>
      </c>
    </row>
    <row r="35" spans="1:8" s="3" customFormat="1" ht="15" x14ac:dyDescent="0.2">
      <c r="A35" s="92">
        <v>32</v>
      </c>
      <c r="B35" s="144"/>
      <c r="C35" s="144"/>
      <c r="D35" s="145"/>
      <c r="E35" s="145"/>
      <c r="F35" s="145"/>
      <c r="G35" s="145">
        <f t="shared" si="1"/>
        <v>0</v>
      </c>
      <c r="H35" s="28">
        <f>IF(table6[[#This Row],[Net Weight]]&gt;0,IF(A35&lt;31,33-A35,2),2)</f>
        <v>2</v>
      </c>
    </row>
    <row r="36" spans="1:8" s="3" customFormat="1" ht="15" x14ac:dyDescent="0.2">
      <c r="A36" s="89">
        <v>33</v>
      </c>
      <c r="B36" s="144"/>
      <c r="C36" s="144"/>
      <c r="D36" s="145"/>
      <c r="E36" s="145"/>
      <c r="F36" s="145"/>
      <c r="G36" s="145">
        <f t="shared" si="1"/>
        <v>0</v>
      </c>
      <c r="H36" s="28">
        <f>IF(table6[[#This Row],[Net Weight]]&gt;0,IF(A36&lt;31,33-A36,2),2)</f>
        <v>2</v>
      </c>
    </row>
    <row r="37" spans="1:8" s="3" customFormat="1" ht="15" x14ac:dyDescent="0.2">
      <c r="A37" s="92">
        <v>34</v>
      </c>
      <c r="B37" s="144"/>
      <c r="C37" s="144"/>
      <c r="D37" s="145"/>
      <c r="E37" s="145"/>
      <c r="F37" s="145"/>
      <c r="G37" s="145">
        <f t="shared" si="1"/>
        <v>0</v>
      </c>
      <c r="H37" s="28">
        <f>IF(table6[[#This Row],[Net Weight]]&gt;0,IF(A37&lt;31,33-A37,2),2)</f>
        <v>2</v>
      </c>
    </row>
    <row r="38" spans="1:8" s="3" customFormat="1" ht="15" x14ac:dyDescent="0.2">
      <c r="A38" s="89">
        <v>35</v>
      </c>
      <c r="B38" s="144"/>
      <c r="C38" s="144"/>
      <c r="D38" s="145"/>
      <c r="E38" s="145"/>
      <c r="F38" s="145"/>
      <c r="G38" s="145">
        <f t="shared" si="1"/>
        <v>0</v>
      </c>
      <c r="H38" s="28">
        <f>IF(table6[[#This Row],[Net Weight]]&gt;0,IF(A38&lt;31,33-A38,2),2)</f>
        <v>2</v>
      </c>
    </row>
    <row r="39" spans="1:8" s="3" customFormat="1" ht="15" x14ac:dyDescent="0.2">
      <c r="A39" s="92">
        <v>36</v>
      </c>
      <c r="B39" s="144"/>
      <c r="C39" s="144"/>
      <c r="D39" s="145"/>
      <c r="E39" s="145"/>
      <c r="F39" s="145"/>
      <c r="G39" s="145">
        <f t="shared" si="1"/>
        <v>0</v>
      </c>
      <c r="H39" s="28">
        <f>IF(table6[[#This Row],[Net Weight]]&gt;0,IF(A39&lt;31,33-A39,2),2)</f>
        <v>2</v>
      </c>
    </row>
    <row r="40" spans="1:8" s="3" customFormat="1" ht="15" x14ac:dyDescent="0.2">
      <c r="A40" s="89">
        <v>37</v>
      </c>
      <c r="B40" s="144"/>
      <c r="C40" s="144"/>
      <c r="D40" s="145"/>
      <c r="E40" s="145"/>
      <c r="F40" s="145"/>
      <c r="G40" s="145">
        <f t="shared" si="1"/>
        <v>0</v>
      </c>
      <c r="H40" s="28">
        <f>IF(table6[[#This Row],[Net Weight]]&gt;0,IF(A40&lt;31,33-A40,2),2)</f>
        <v>2</v>
      </c>
    </row>
    <row r="41" spans="1:8" s="3" customFormat="1" ht="15" x14ac:dyDescent="0.2">
      <c r="A41" s="92">
        <v>38</v>
      </c>
      <c r="B41" s="144"/>
      <c r="C41" s="144"/>
      <c r="D41" s="145"/>
      <c r="E41" s="145"/>
      <c r="F41" s="145"/>
      <c r="G41" s="145">
        <f t="shared" si="1"/>
        <v>0</v>
      </c>
      <c r="H41" s="28">
        <f>IF(table6[[#This Row],[Net Weight]]&gt;0,IF(A41&lt;31,33-A41,2),2)</f>
        <v>2</v>
      </c>
    </row>
    <row r="42" spans="1:8" s="3" customFormat="1" ht="15" x14ac:dyDescent="0.2">
      <c r="A42" s="89">
        <v>39</v>
      </c>
      <c r="B42" s="144"/>
      <c r="C42" s="144"/>
      <c r="D42" s="145"/>
      <c r="E42" s="145"/>
      <c r="F42" s="145"/>
      <c r="G42" s="145">
        <f t="shared" si="1"/>
        <v>0</v>
      </c>
      <c r="H42" s="28">
        <f>IF(table6[[#This Row],[Net Weight]]&gt;0,IF(A42&lt;31,33-A42,2),2)</f>
        <v>2</v>
      </c>
    </row>
    <row r="43" spans="1:8" s="3" customFormat="1" ht="15" x14ac:dyDescent="0.2">
      <c r="A43" s="92">
        <v>40</v>
      </c>
      <c r="B43" s="144"/>
      <c r="C43" s="144"/>
      <c r="D43" s="145"/>
      <c r="E43" s="145"/>
      <c r="F43" s="145"/>
      <c r="G43" s="145">
        <f t="shared" si="1"/>
        <v>0</v>
      </c>
      <c r="H43" s="28">
        <f>IF(table6[[#This Row],[Net Weight]]&gt;0,IF(A43&lt;31,33-A43,2),2)</f>
        <v>2</v>
      </c>
    </row>
    <row r="44" spans="1:8" s="3" customFormat="1" ht="15" x14ac:dyDescent="0.2">
      <c r="A44" s="89">
        <v>41</v>
      </c>
      <c r="B44" s="144"/>
      <c r="C44" s="144"/>
      <c r="D44" s="145"/>
      <c r="E44" s="145"/>
      <c r="F44" s="145"/>
      <c r="G44" s="145">
        <f t="shared" si="1"/>
        <v>0</v>
      </c>
      <c r="H44" s="28">
        <f>IF(table6[[#This Row],[Net Weight]]&gt;0,IF(A44&lt;31,33-A44,2),2)</f>
        <v>2</v>
      </c>
    </row>
    <row r="45" spans="1:8" s="3" customFormat="1" ht="15" x14ac:dyDescent="0.2">
      <c r="A45" s="92">
        <v>42</v>
      </c>
      <c r="B45" s="144"/>
      <c r="C45" s="144"/>
      <c r="D45" s="145"/>
      <c r="E45" s="145"/>
      <c r="F45" s="145"/>
      <c r="G45" s="145">
        <f t="shared" si="1"/>
        <v>0</v>
      </c>
      <c r="H45" s="28">
        <f>IF(table6[[#This Row],[Net Weight]]&gt;0,IF(A45&lt;31,33-A45,2),2)</f>
        <v>2</v>
      </c>
    </row>
    <row r="46" spans="1:8" s="3" customFormat="1" ht="15" x14ac:dyDescent="0.2">
      <c r="A46" s="89">
        <v>43</v>
      </c>
      <c r="B46" s="144"/>
      <c r="C46" s="144"/>
      <c r="D46" s="145"/>
      <c r="E46" s="145"/>
      <c r="F46" s="145"/>
      <c r="G46" s="145">
        <f t="shared" si="1"/>
        <v>0</v>
      </c>
      <c r="H46" s="28">
        <f>IF(table6[[#This Row],[Net Weight]]&gt;0,IF(A46&lt;31,33-A46,2),2)</f>
        <v>2</v>
      </c>
    </row>
    <row r="47" spans="1:8" s="3" customFormat="1" ht="15" x14ac:dyDescent="0.2">
      <c r="A47" s="92">
        <v>44</v>
      </c>
      <c r="B47" s="144"/>
      <c r="C47" s="144"/>
      <c r="D47" s="145"/>
      <c r="E47" s="145"/>
      <c r="F47" s="145"/>
      <c r="G47" s="145">
        <f t="shared" si="1"/>
        <v>0</v>
      </c>
      <c r="H47" s="28">
        <f>IF(table6[[#This Row],[Net Weight]]&gt;0,IF(A47&lt;31,33-A47,2),2)</f>
        <v>2</v>
      </c>
    </row>
    <row r="48" spans="1:8" s="3" customFormat="1" ht="15" x14ac:dyDescent="0.2">
      <c r="A48" s="89">
        <v>45</v>
      </c>
      <c r="B48" s="144"/>
      <c r="C48" s="144"/>
      <c r="D48" s="145"/>
      <c r="E48" s="145"/>
      <c r="F48" s="145"/>
      <c r="G48" s="145">
        <f t="shared" si="1"/>
        <v>0</v>
      </c>
      <c r="H48" s="28">
        <f>IF(table6[[#This Row],[Net Weight]]&gt;0,IF(A48&lt;31,33-A48,2),2)</f>
        <v>2</v>
      </c>
    </row>
    <row r="49" spans="1:8" s="3" customFormat="1" ht="15" x14ac:dyDescent="0.2">
      <c r="A49" s="92">
        <v>46</v>
      </c>
      <c r="B49" s="144"/>
      <c r="C49" s="144"/>
      <c r="D49" s="145"/>
      <c r="E49" s="145"/>
      <c r="F49" s="145"/>
      <c r="G49" s="145">
        <f t="shared" si="1"/>
        <v>0</v>
      </c>
      <c r="H49" s="28">
        <f>IF(table6[[#This Row],[Net Weight]]&gt;0,IF(A49&lt;31,33-A49,2),2)</f>
        <v>2</v>
      </c>
    </row>
    <row r="50" spans="1:8" s="3" customFormat="1" ht="15" x14ac:dyDescent="0.2">
      <c r="A50" s="89">
        <v>47</v>
      </c>
      <c r="B50" s="144"/>
      <c r="C50" s="144"/>
      <c r="D50" s="145"/>
      <c r="E50" s="145"/>
      <c r="F50" s="145"/>
      <c r="G50" s="145">
        <f t="shared" si="1"/>
        <v>0</v>
      </c>
      <c r="H50" s="28">
        <f>IF(table6[[#This Row],[Net Weight]]&gt;0,IF(A50&lt;31,33-A50,2),2)</f>
        <v>2</v>
      </c>
    </row>
    <row r="51" spans="1:8" s="3" customFormat="1" ht="15" x14ac:dyDescent="0.2">
      <c r="A51" s="92">
        <v>48</v>
      </c>
      <c r="B51" s="144"/>
      <c r="C51" s="144"/>
      <c r="D51" s="145"/>
      <c r="E51" s="145"/>
      <c r="F51" s="145"/>
      <c r="G51" s="145">
        <f t="shared" si="1"/>
        <v>0</v>
      </c>
      <c r="H51" s="28">
        <f>IF(table6[[#This Row],[Net Weight]]&gt;0,IF(A51&lt;31,33-A51,2),2)</f>
        <v>2</v>
      </c>
    </row>
    <row r="52" spans="1:8" s="3" customFormat="1" ht="15" x14ac:dyDescent="0.2">
      <c r="A52" s="89">
        <v>49</v>
      </c>
      <c r="B52" s="144"/>
      <c r="C52" s="144"/>
      <c r="D52" s="145"/>
      <c r="E52" s="145"/>
      <c r="F52" s="145"/>
      <c r="G52" s="145">
        <f t="shared" si="1"/>
        <v>0</v>
      </c>
      <c r="H52" s="28">
        <f>IF(table6[[#This Row],[Net Weight]]&gt;0,IF(A52&lt;31,33-A52,2),2)</f>
        <v>2</v>
      </c>
    </row>
    <row r="53" spans="1:8" s="3" customFormat="1" ht="15" x14ac:dyDescent="0.2">
      <c r="A53" s="92">
        <v>50</v>
      </c>
      <c r="B53" s="144"/>
      <c r="C53" s="144"/>
      <c r="D53" s="145"/>
      <c r="E53" s="145"/>
      <c r="F53" s="145"/>
      <c r="G53" s="145">
        <f t="shared" si="1"/>
        <v>0</v>
      </c>
      <c r="H53" s="28">
        <f>IF(table6[[#This Row],[Net Weight]]&gt;0,IF(A53&lt;31,33-A53,2),2)</f>
        <v>2</v>
      </c>
    </row>
    <row r="54" spans="1:8" s="3" customFormat="1" ht="15" x14ac:dyDescent="0.2">
      <c r="A54" s="133"/>
      <c r="B54" s="133"/>
      <c r="C54" s="133"/>
      <c r="D54" s="146"/>
      <c r="E54" s="146"/>
      <c r="F54" s="146"/>
      <c r="G54" s="146"/>
      <c r="H54" s="133"/>
    </row>
    <row r="55" spans="1:8" ht="15" x14ac:dyDescent="0.2">
      <c r="A55" s="160" t="s">
        <v>88</v>
      </c>
      <c r="B55" s="160"/>
      <c r="C55" s="40">
        <f>COUNT(table6[Number of Fish])</f>
        <v>0</v>
      </c>
      <c r="D55" s="40"/>
      <c r="E55" s="40"/>
      <c r="F55" s="41"/>
      <c r="G55" s="41"/>
      <c r="H55" s="49"/>
    </row>
    <row r="56" spans="1:8" ht="15" x14ac:dyDescent="0.2">
      <c r="A56" s="160" t="s">
        <v>89</v>
      </c>
      <c r="B56" s="160"/>
      <c r="C56" s="40">
        <f>SUM(table6[Number of Fish])</f>
        <v>0</v>
      </c>
      <c r="D56" s="40"/>
      <c r="E56" s="40"/>
      <c r="F56" s="41"/>
      <c r="G56" s="41"/>
      <c r="H56" s="49"/>
    </row>
    <row r="57" spans="1:8" ht="15" x14ac:dyDescent="0.2">
      <c r="A57" s="160" t="s">
        <v>90</v>
      </c>
      <c r="B57" s="160"/>
      <c r="C57" s="41">
        <f>SUM(table6[Total Weight])</f>
        <v>0</v>
      </c>
      <c r="D57" s="40"/>
      <c r="E57" s="41"/>
      <c r="F57" s="41"/>
      <c r="G57" s="41"/>
      <c r="H57" s="48"/>
    </row>
    <row r="58" spans="1:8" ht="15" x14ac:dyDescent="0.2">
      <c r="A58" s="160" t="s">
        <v>91</v>
      </c>
      <c r="B58" s="160"/>
      <c r="C58" s="41" t="e">
        <f>C57/C56</f>
        <v>#DIV/0!</v>
      </c>
      <c r="D58" s="40"/>
      <c r="E58" s="50"/>
      <c r="F58" s="41"/>
      <c r="G58" s="41"/>
      <c r="H58" s="48"/>
    </row>
    <row r="59" spans="1:8" ht="15" x14ac:dyDescent="0.2">
      <c r="A59" s="160" t="s">
        <v>92</v>
      </c>
      <c r="B59" s="160"/>
      <c r="C59" s="40" t="e">
        <f>C56/C55</f>
        <v>#DIV/0!</v>
      </c>
      <c r="D59" s="40"/>
      <c r="E59" s="41"/>
      <c r="F59" s="41"/>
      <c r="G59" s="41"/>
      <c r="H59" s="48"/>
    </row>
  </sheetData>
  <mergeCells count="7">
    <mergeCell ref="A58:B58"/>
    <mergeCell ref="A59:B59"/>
    <mergeCell ref="A1:H1"/>
    <mergeCell ref="A2:H2"/>
    <mergeCell ref="A55:B55"/>
    <mergeCell ref="A56:B56"/>
    <mergeCell ref="A57:B57"/>
  </mergeCells>
  <phoneticPr fontId="0" type="noConversion"/>
  <conditionalFormatting sqref="B4">
    <cfRule type="duplicateValues" dxfId="11" priority="1"/>
  </conditionalFormatting>
  <printOptions horizontalCentered="1" verticalCentered="1" gridLines="1"/>
  <pageMargins left="0.25" right="0.25" top="0.75" bottom="0.75" header="0.3" footer="0.3"/>
  <pageSetup scale="69" orientation="portrait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B4:B54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="70" zoomScaleNormal="70" workbookViewId="0">
      <pane ySplit="1" topLeftCell="A2" activePane="bottomLeft" state="frozen"/>
      <selection pane="bottomLeft" activeCell="D20" sqref="D20"/>
    </sheetView>
  </sheetViews>
  <sheetFormatPr defaultColWidth="9.140625" defaultRowHeight="12.75" x14ac:dyDescent="0.2"/>
  <cols>
    <col min="1" max="1" width="4.28515625" style="2" bestFit="1" customWidth="1"/>
    <col min="2" max="2" width="29.5703125" style="80" customWidth="1"/>
    <col min="3" max="3" width="20.42578125" style="2" customWidth="1"/>
    <col min="4" max="4" width="17" style="2" customWidth="1"/>
    <col min="5" max="5" width="19.5703125" style="2" customWidth="1"/>
    <col min="6" max="6" width="11.42578125" style="2" customWidth="1"/>
    <col min="7" max="7" width="14.85546875" style="2" customWidth="1"/>
    <col min="8" max="8" width="19.5703125" style="2" customWidth="1"/>
    <col min="9" max="9" width="16.85546875" style="2" customWidth="1"/>
    <col min="10" max="10" width="18.5703125" style="2" customWidth="1"/>
    <col min="11" max="11" width="13.42578125" style="2" customWidth="1"/>
    <col min="12" max="12" width="16.42578125" style="2" customWidth="1"/>
    <col min="13" max="13" width="19.5703125" style="2" customWidth="1"/>
    <col min="14" max="14" width="18.5703125" style="2" customWidth="1"/>
    <col min="15" max="15" width="14.85546875" style="2" customWidth="1"/>
    <col min="16" max="16" width="18.85546875" style="2" bestFit="1" customWidth="1"/>
    <col min="17" max="16384" width="9.140625" style="2"/>
  </cols>
  <sheetData>
    <row r="1" spans="1:16" ht="33" x14ac:dyDescent="0.45">
      <c r="A1" s="176" t="s">
        <v>135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</row>
    <row r="2" spans="1:16" ht="20.25" x14ac:dyDescent="0.3">
      <c r="A2" s="178" t="s">
        <v>262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7"/>
    </row>
    <row r="3" spans="1:16" ht="18" x14ac:dyDescent="0.2">
      <c r="A3" s="61"/>
      <c r="B3" s="79"/>
      <c r="C3" s="60"/>
      <c r="D3" s="83"/>
      <c r="E3" s="83" t="s">
        <v>226</v>
      </c>
      <c r="F3" s="83"/>
      <c r="G3" s="60"/>
      <c r="H3" s="62"/>
      <c r="I3" s="83"/>
      <c r="J3" s="83" t="s">
        <v>227</v>
      </c>
      <c r="K3" s="83"/>
      <c r="L3" s="83"/>
      <c r="M3" s="180" t="s">
        <v>1</v>
      </c>
      <c r="N3" s="181"/>
      <c r="O3" s="181"/>
      <c r="P3" s="60"/>
    </row>
    <row r="4" spans="1:16" s="3" customFormat="1" x14ac:dyDescent="0.2">
      <c r="A4" s="61"/>
      <c r="B4" s="79" t="s">
        <v>22</v>
      </c>
      <c r="C4" s="60" t="s">
        <v>213</v>
      </c>
      <c r="D4" s="60" t="s">
        <v>181</v>
      </c>
      <c r="E4" s="60" t="s">
        <v>214</v>
      </c>
      <c r="F4" s="60" t="s">
        <v>179</v>
      </c>
      <c r="G4" s="60" t="s">
        <v>215</v>
      </c>
      <c r="H4" s="63" t="s">
        <v>222</v>
      </c>
      <c r="I4" s="60" t="s">
        <v>219</v>
      </c>
      <c r="J4" s="60" t="s">
        <v>220</v>
      </c>
      <c r="K4" s="60" t="s">
        <v>225</v>
      </c>
      <c r="L4" s="60" t="s">
        <v>224</v>
      </c>
      <c r="M4" s="63" t="s">
        <v>223</v>
      </c>
      <c r="N4" s="60" t="s">
        <v>221</v>
      </c>
      <c r="O4" s="60" t="s">
        <v>0</v>
      </c>
      <c r="P4" s="60" t="s">
        <v>25</v>
      </c>
    </row>
    <row r="5" spans="1:16" s="3" customFormat="1" ht="15" x14ac:dyDescent="0.2">
      <c r="A5" s="58">
        <v>1</v>
      </c>
      <c r="B5" s="30"/>
      <c r="C5" s="54"/>
      <c r="D5" s="53"/>
      <c r="E5" s="52"/>
      <c r="F5" s="53"/>
      <c r="G5" s="52">
        <f t="shared" ref="G5:G32" si="0">SUM(E5-F5)</f>
        <v>0</v>
      </c>
      <c r="H5" s="104"/>
      <c r="I5" s="53"/>
      <c r="J5" s="53"/>
      <c r="K5" s="53"/>
      <c r="L5" s="52">
        <f t="shared" ref="L5:L32" si="1">SUM(J5-K5)</f>
        <v>0</v>
      </c>
      <c r="M5" s="64">
        <f t="shared" ref="M5:M32" si="2">MAX(D5,I5)</f>
        <v>0</v>
      </c>
      <c r="N5" s="54">
        <f t="shared" ref="N5:N32" si="3">SUM(C5+H5)</f>
        <v>0</v>
      </c>
      <c r="O5" s="52">
        <f t="shared" ref="O5:O32" si="4">SUM(G5+L5)</f>
        <v>0</v>
      </c>
      <c r="P5" s="65">
        <f>IF(N5&gt;0,33-A5,2)</f>
        <v>2</v>
      </c>
    </row>
    <row r="6" spans="1:16" s="3" customFormat="1" ht="14.1" customHeight="1" x14ac:dyDescent="0.2">
      <c r="A6" s="58">
        <v>2</v>
      </c>
      <c r="B6" s="105"/>
      <c r="C6" s="54"/>
      <c r="D6" s="53"/>
      <c r="E6" s="52"/>
      <c r="F6" s="53"/>
      <c r="G6" s="52">
        <f t="shared" si="0"/>
        <v>0</v>
      </c>
      <c r="H6" s="104"/>
      <c r="I6" s="53"/>
      <c r="J6" s="53"/>
      <c r="K6" s="53"/>
      <c r="L6" s="52">
        <f t="shared" si="1"/>
        <v>0</v>
      </c>
      <c r="M6" s="64">
        <f t="shared" si="2"/>
        <v>0</v>
      </c>
      <c r="N6" s="54">
        <f t="shared" si="3"/>
        <v>0</v>
      </c>
      <c r="O6" s="52">
        <f t="shared" si="4"/>
        <v>0</v>
      </c>
      <c r="P6" s="65">
        <f t="shared" ref="P6:P32" si="5">IF(N6&gt;0,33-A6,2)</f>
        <v>2</v>
      </c>
    </row>
    <row r="7" spans="1:16" s="3" customFormat="1" ht="14.1" customHeight="1" x14ac:dyDescent="0.2">
      <c r="A7" s="58">
        <v>3</v>
      </c>
      <c r="B7" s="105"/>
      <c r="C7" s="54"/>
      <c r="D7" s="53"/>
      <c r="E7" s="52"/>
      <c r="F7" s="53"/>
      <c r="G7" s="52">
        <f t="shared" si="0"/>
        <v>0</v>
      </c>
      <c r="H7" s="104"/>
      <c r="I7" s="53"/>
      <c r="J7" s="53"/>
      <c r="K7" s="53"/>
      <c r="L7" s="52">
        <f t="shared" si="1"/>
        <v>0</v>
      </c>
      <c r="M7" s="64">
        <f t="shared" si="2"/>
        <v>0</v>
      </c>
      <c r="N7" s="54">
        <f t="shared" si="3"/>
        <v>0</v>
      </c>
      <c r="O7" s="52">
        <f t="shared" si="4"/>
        <v>0</v>
      </c>
      <c r="P7" s="65">
        <f t="shared" si="5"/>
        <v>2</v>
      </c>
    </row>
    <row r="8" spans="1:16" s="3" customFormat="1" ht="14.1" customHeight="1" x14ac:dyDescent="0.2">
      <c r="A8" s="58">
        <v>4</v>
      </c>
      <c r="B8" s="105"/>
      <c r="C8" s="54"/>
      <c r="D8" s="53"/>
      <c r="E8" s="52"/>
      <c r="F8" s="53"/>
      <c r="G8" s="52">
        <f t="shared" si="0"/>
        <v>0</v>
      </c>
      <c r="H8" s="104"/>
      <c r="I8" s="53"/>
      <c r="J8" s="52"/>
      <c r="K8" s="53"/>
      <c r="L8" s="52">
        <f t="shared" si="1"/>
        <v>0</v>
      </c>
      <c r="M8" s="64">
        <f t="shared" si="2"/>
        <v>0</v>
      </c>
      <c r="N8" s="54">
        <f t="shared" si="3"/>
        <v>0</v>
      </c>
      <c r="O8" s="52">
        <f t="shared" si="4"/>
        <v>0</v>
      </c>
      <c r="P8" s="65">
        <f t="shared" si="5"/>
        <v>2</v>
      </c>
    </row>
    <row r="9" spans="1:16" s="3" customFormat="1" ht="14.1" customHeight="1" x14ac:dyDescent="0.2">
      <c r="A9" s="58">
        <v>5</v>
      </c>
      <c r="B9" s="105"/>
      <c r="C9" s="54"/>
      <c r="D9" s="53"/>
      <c r="E9" s="52"/>
      <c r="F9" s="53"/>
      <c r="G9" s="52">
        <f t="shared" si="0"/>
        <v>0</v>
      </c>
      <c r="H9" s="104"/>
      <c r="I9" s="53"/>
      <c r="J9" s="53"/>
      <c r="K9" s="53"/>
      <c r="L9" s="52">
        <f t="shared" si="1"/>
        <v>0</v>
      </c>
      <c r="M9" s="64">
        <f t="shared" si="2"/>
        <v>0</v>
      </c>
      <c r="N9" s="54">
        <f t="shared" si="3"/>
        <v>0</v>
      </c>
      <c r="O9" s="52">
        <f t="shared" si="4"/>
        <v>0</v>
      </c>
      <c r="P9" s="65">
        <f t="shared" si="5"/>
        <v>2</v>
      </c>
    </row>
    <row r="10" spans="1:16" ht="14.1" customHeight="1" x14ac:dyDescent="0.2">
      <c r="A10" s="58">
        <v>6</v>
      </c>
      <c r="B10" s="105"/>
      <c r="C10" s="54"/>
      <c r="D10" s="53"/>
      <c r="E10" s="52"/>
      <c r="F10" s="53"/>
      <c r="G10" s="52">
        <f t="shared" si="0"/>
        <v>0</v>
      </c>
      <c r="H10" s="104"/>
      <c r="I10" s="53"/>
      <c r="J10" s="52"/>
      <c r="K10" s="53"/>
      <c r="L10" s="52">
        <f t="shared" si="1"/>
        <v>0</v>
      </c>
      <c r="M10" s="64">
        <f t="shared" si="2"/>
        <v>0</v>
      </c>
      <c r="N10" s="54">
        <f t="shared" si="3"/>
        <v>0</v>
      </c>
      <c r="O10" s="52">
        <f t="shared" si="4"/>
        <v>0</v>
      </c>
      <c r="P10" s="65">
        <f t="shared" si="5"/>
        <v>2</v>
      </c>
    </row>
    <row r="11" spans="1:16" ht="14.1" customHeight="1" x14ac:dyDescent="0.2">
      <c r="A11" s="58">
        <v>7</v>
      </c>
      <c r="B11" s="105"/>
      <c r="C11" s="54"/>
      <c r="D11" s="53"/>
      <c r="E11" s="52"/>
      <c r="F11" s="53"/>
      <c r="G11" s="52">
        <f t="shared" si="0"/>
        <v>0</v>
      </c>
      <c r="H11" s="104"/>
      <c r="I11" s="53"/>
      <c r="J11" s="53"/>
      <c r="K11" s="53"/>
      <c r="L11" s="52">
        <f t="shared" si="1"/>
        <v>0</v>
      </c>
      <c r="M11" s="64">
        <f t="shared" si="2"/>
        <v>0</v>
      </c>
      <c r="N11" s="54">
        <f t="shared" si="3"/>
        <v>0</v>
      </c>
      <c r="O11" s="52">
        <f t="shared" si="4"/>
        <v>0</v>
      </c>
      <c r="P11" s="65">
        <f t="shared" si="5"/>
        <v>2</v>
      </c>
    </row>
    <row r="12" spans="1:16" ht="14.1" customHeight="1" x14ac:dyDescent="0.2">
      <c r="A12" s="58">
        <v>8</v>
      </c>
      <c r="B12" s="105"/>
      <c r="C12" s="54"/>
      <c r="D12" s="53"/>
      <c r="E12" s="52"/>
      <c r="F12" s="53"/>
      <c r="G12" s="52">
        <f t="shared" si="0"/>
        <v>0</v>
      </c>
      <c r="H12" s="104"/>
      <c r="I12" s="53"/>
      <c r="J12" s="53"/>
      <c r="K12" s="53"/>
      <c r="L12" s="52">
        <f t="shared" si="1"/>
        <v>0</v>
      </c>
      <c r="M12" s="64">
        <f t="shared" si="2"/>
        <v>0</v>
      </c>
      <c r="N12" s="54">
        <f t="shared" si="3"/>
        <v>0</v>
      </c>
      <c r="O12" s="52">
        <f t="shared" si="4"/>
        <v>0</v>
      </c>
      <c r="P12" s="65">
        <f t="shared" si="5"/>
        <v>2</v>
      </c>
    </row>
    <row r="13" spans="1:16" ht="15" x14ac:dyDescent="0.2">
      <c r="A13" s="58">
        <v>9</v>
      </c>
      <c r="B13" s="105"/>
      <c r="C13" s="54"/>
      <c r="D13" s="53"/>
      <c r="E13" s="52"/>
      <c r="F13" s="53"/>
      <c r="G13" s="52">
        <f t="shared" si="0"/>
        <v>0</v>
      </c>
      <c r="H13" s="104"/>
      <c r="I13" s="53"/>
      <c r="J13" s="53"/>
      <c r="K13" s="53"/>
      <c r="L13" s="52">
        <f t="shared" si="1"/>
        <v>0</v>
      </c>
      <c r="M13" s="64">
        <f t="shared" si="2"/>
        <v>0</v>
      </c>
      <c r="N13" s="54">
        <f t="shared" si="3"/>
        <v>0</v>
      </c>
      <c r="O13" s="52">
        <f t="shared" si="4"/>
        <v>0</v>
      </c>
      <c r="P13" s="65">
        <f t="shared" si="5"/>
        <v>2</v>
      </c>
    </row>
    <row r="14" spans="1:16" ht="15" x14ac:dyDescent="0.2">
      <c r="A14" s="58">
        <v>10</v>
      </c>
      <c r="B14" s="105"/>
      <c r="C14" s="54"/>
      <c r="D14" s="53"/>
      <c r="E14" s="52"/>
      <c r="F14" s="53"/>
      <c r="G14" s="52">
        <f t="shared" si="0"/>
        <v>0</v>
      </c>
      <c r="H14" s="104"/>
      <c r="I14" s="53"/>
      <c r="J14" s="53"/>
      <c r="K14" s="53"/>
      <c r="L14" s="52">
        <f t="shared" si="1"/>
        <v>0</v>
      </c>
      <c r="M14" s="64">
        <f t="shared" si="2"/>
        <v>0</v>
      </c>
      <c r="N14" s="54">
        <f t="shared" si="3"/>
        <v>0</v>
      </c>
      <c r="O14" s="52">
        <f t="shared" si="4"/>
        <v>0</v>
      </c>
      <c r="P14" s="65">
        <f t="shared" si="5"/>
        <v>2</v>
      </c>
    </row>
    <row r="15" spans="1:16" ht="15" x14ac:dyDescent="0.2">
      <c r="A15" s="58">
        <v>11</v>
      </c>
      <c r="B15" s="105"/>
      <c r="C15" s="54"/>
      <c r="D15" s="53"/>
      <c r="E15" s="52"/>
      <c r="F15" s="53"/>
      <c r="G15" s="52">
        <f t="shared" si="0"/>
        <v>0</v>
      </c>
      <c r="H15" s="104"/>
      <c r="I15" s="53"/>
      <c r="J15" s="53"/>
      <c r="K15" s="53"/>
      <c r="L15" s="52">
        <f t="shared" si="1"/>
        <v>0</v>
      </c>
      <c r="M15" s="64">
        <f t="shared" si="2"/>
        <v>0</v>
      </c>
      <c r="N15" s="54">
        <f t="shared" si="3"/>
        <v>0</v>
      </c>
      <c r="O15" s="52">
        <f t="shared" si="4"/>
        <v>0</v>
      </c>
      <c r="P15" s="65">
        <f t="shared" si="5"/>
        <v>2</v>
      </c>
    </row>
    <row r="16" spans="1:16" ht="15" x14ac:dyDescent="0.2">
      <c r="A16" s="58">
        <v>12</v>
      </c>
      <c r="B16" s="105"/>
      <c r="C16" s="54"/>
      <c r="D16" s="53"/>
      <c r="E16" s="52"/>
      <c r="F16" s="53"/>
      <c r="G16" s="52">
        <f t="shared" si="0"/>
        <v>0</v>
      </c>
      <c r="H16" s="104"/>
      <c r="I16" s="53"/>
      <c r="J16" s="52"/>
      <c r="K16" s="53"/>
      <c r="L16" s="52">
        <f t="shared" si="1"/>
        <v>0</v>
      </c>
      <c r="M16" s="64">
        <f t="shared" si="2"/>
        <v>0</v>
      </c>
      <c r="N16" s="54">
        <f t="shared" si="3"/>
        <v>0</v>
      </c>
      <c r="O16" s="52">
        <f t="shared" si="4"/>
        <v>0</v>
      </c>
      <c r="P16" s="65">
        <f t="shared" si="5"/>
        <v>2</v>
      </c>
    </row>
    <row r="17" spans="1:16" ht="15" x14ac:dyDescent="0.2">
      <c r="A17" s="58">
        <v>13</v>
      </c>
      <c r="B17" s="105"/>
      <c r="C17" s="54"/>
      <c r="D17" s="53"/>
      <c r="E17" s="52"/>
      <c r="F17" s="53"/>
      <c r="G17" s="52">
        <f t="shared" si="0"/>
        <v>0</v>
      </c>
      <c r="H17" s="104"/>
      <c r="I17" s="53"/>
      <c r="J17" s="52"/>
      <c r="K17" s="53"/>
      <c r="L17" s="52">
        <f t="shared" si="1"/>
        <v>0</v>
      </c>
      <c r="M17" s="64">
        <f t="shared" si="2"/>
        <v>0</v>
      </c>
      <c r="N17" s="54">
        <f t="shared" si="3"/>
        <v>0</v>
      </c>
      <c r="O17" s="52">
        <f t="shared" si="4"/>
        <v>0</v>
      </c>
      <c r="P17" s="65">
        <f t="shared" si="5"/>
        <v>2</v>
      </c>
    </row>
    <row r="18" spans="1:16" ht="15" x14ac:dyDescent="0.2">
      <c r="A18" s="58">
        <v>14</v>
      </c>
      <c r="B18" s="105"/>
      <c r="C18" s="54"/>
      <c r="D18" s="53"/>
      <c r="E18" s="52"/>
      <c r="F18" s="53"/>
      <c r="G18" s="52">
        <f t="shared" si="0"/>
        <v>0</v>
      </c>
      <c r="H18" s="104"/>
      <c r="I18" s="53"/>
      <c r="J18" s="53"/>
      <c r="K18" s="53"/>
      <c r="L18" s="52">
        <f t="shared" si="1"/>
        <v>0</v>
      </c>
      <c r="M18" s="64">
        <f t="shared" si="2"/>
        <v>0</v>
      </c>
      <c r="N18" s="54">
        <f t="shared" si="3"/>
        <v>0</v>
      </c>
      <c r="O18" s="52">
        <f t="shared" si="4"/>
        <v>0</v>
      </c>
      <c r="P18" s="65">
        <f t="shared" si="5"/>
        <v>2</v>
      </c>
    </row>
    <row r="19" spans="1:16" ht="15" x14ac:dyDescent="0.2">
      <c r="A19" s="58">
        <v>15</v>
      </c>
      <c r="B19" s="105"/>
      <c r="C19" s="54"/>
      <c r="D19" s="53"/>
      <c r="E19" s="52"/>
      <c r="F19" s="53"/>
      <c r="G19" s="52">
        <f t="shared" si="0"/>
        <v>0</v>
      </c>
      <c r="H19" s="104"/>
      <c r="I19" s="53"/>
      <c r="J19" s="53"/>
      <c r="K19" s="53"/>
      <c r="L19" s="52">
        <f t="shared" si="1"/>
        <v>0</v>
      </c>
      <c r="M19" s="64">
        <f t="shared" si="2"/>
        <v>0</v>
      </c>
      <c r="N19" s="54">
        <f t="shared" si="3"/>
        <v>0</v>
      </c>
      <c r="O19" s="52">
        <f t="shared" si="4"/>
        <v>0</v>
      </c>
      <c r="P19" s="65">
        <f t="shared" si="5"/>
        <v>2</v>
      </c>
    </row>
    <row r="20" spans="1:16" ht="15" x14ac:dyDescent="0.2">
      <c r="A20" s="58">
        <v>16</v>
      </c>
      <c r="B20" s="105"/>
      <c r="C20" s="54"/>
      <c r="D20" s="53"/>
      <c r="E20" s="52"/>
      <c r="F20" s="53"/>
      <c r="G20" s="52">
        <f t="shared" si="0"/>
        <v>0</v>
      </c>
      <c r="H20" s="104"/>
      <c r="I20" s="53"/>
      <c r="J20" s="53"/>
      <c r="K20" s="53"/>
      <c r="L20" s="52">
        <f t="shared" si="1"/>
        <v>0</v>
      </c>
      <c r="M20" s="64">
        <f t="shared" si="2"/>
        <v>0</v>
      </c>
      <c r="N20" s="54">
        <f t="shared" si="3"/>
        <v>0</v>
      </c>
      <c r="O20" s="52">
        <f t="shared" si="4"/>
        <v>0</v>
      </c>
      <c r="P20" s="65">
        <f t="shared" si="5"/>
        <v>2</v>
      </c>
    </row>
    <row r="21" spans="1:16" ht="15" x14ac:dyDescent="0.2">
      <c r="A21" s="58">
        <v>17</v>
      </c>
      <c r="B21" s="105"/>
      <c r="C21" s="54"/>
      <c r="D21" s="53"/>
      <c r="E21" s="52"/>
      <c r="F21" s="53"/>
      <c r="G21" s="52">
        <f t="shared" si="0"/>
        <v>0</v>
      </c>
      <c r="H21" s="104"/>
      <c r="I21" s="53"/>
      <c r="J21" s="53"/>
      <c r="K21" s="53"/>
      <c r="L21" s="52">
        <f t="shared" si="1"/>
        <v>0</v>
      </c>
      <c r="M21" s="64">
        <f t="shared" si="2"/>
        <v>0</v>
      </c>
      <c r="N21" s="54">
        <f t="shared" si="3"/>
        <v>0</v>
      </c>
      <c r="O21" s="52">
        <f t="shared" si="4"/>
        <v>0</v>
      </c>
      <c r="P21" s="65">
        <f t="shared" si="5"/>
        <v>2</v>
      </c>
    </row>
    <row r="22" spans="1:16" ht="15" x14ac:dyDescent="0.2">
      <c r="A22" s="58">
        <v>18</v>
      </c>
      <c r="B22" s="105"/>
      <c r="C22" s="54"/>
      <c r="D22" s="53"/>
      <c r="E22" s="52"/>
      <c r="F22" s="53"/>
      <c r="G22" s="52">
        <f t="shared" si="0"/>
        <v>0</v>
      </c>
      <c r="H22" s="104"/>
      <c r="I22" s="53"/>
      <c r="J22" s="53"/>
      <c r="K22" s="53"/>
      <c r="L22" s="52">
        <f t="shared" si="1"/>
        <v>0</v>
      </c>
      <c r="M22" s="64">
        <f t="shared" si="2"/>
        <v>0</v>
      </c>
      <c r="N22" s="54">
        <f t="shared" si="3"/>
        <v>0</v>
      </c>
      <c r="O22" s="52">
        <f t="shared" si="4"/>
        <v>0</v>
      </c>
      <c r="P22" s="65">
        <f t="shared" si="5"/>
        <v>2</v>
      </c>
    </row>
    <row r="23" spans="1:16" ht="15" x14ac:dyDescent="0.2">
      <c r="A23" s="58">
        <v>19</v>
      </c>
      <c r="B23" s="105"/>
      <c r="C23" s="54"/>
      <c r="D23" s="53"/>
      <c r="E23" s="52"/>
      <c r="F23" s="53"/>
      <c r="G23" s="52">
        <f t="shared" si="0"/>
        <v>0</v>
      </c>
      <c r="H23" s="104"/>
      <c r="I23" s="53"/>
      <c r="J23" s="53"/>
      <c r="K23" s="53"/>
      <c r="L23" s="52">
        <f t="shared" si="1"/>
        <v>0</v>
      </c>
      <c r="M23" s="64">
        <f t="shared" si="2"/>
        <v>0</v>
      </c>
      <c r="N23" s="54">
        <f t="shared" si="3"/>
        <v>0</v>
      </c>
      <c r="O23" s="52">
        <f t="shared" si="4"/>
        <v>0</v>
      </c>
      <c r="P23" s="65">
        <f t="shared" si="5"/>
        <v>2</v>
      </c>
    </row>
    <row r="24" spans="1:16" ht="15" x14ac:dyDescent="0.2">
      <c r="A24" s="58">
        <v>20</v>
      </c>
      <c r="B24" s="105"/>
      <c r="C24" s="54"/>
      <c r="D24" s="53"/>
      <c r="E24" s="52"/>
      <c r="F24" s="53"/>
      <c r="G24" s="52">
        <f t="shared" si="0"/>
        <v>0</v>
      </c>
      <c r="H24" s="104"/>
      <c r="I24" s="53"/>
      <c r="J24" s="53"/>
      <c r="K24" s="53"/>
      <c r="L24" s="52">
        <f t="shared" si="1"/>
        <v>0</v>
      </c>
      <c r="M24" s="64">
        <f t="shared" si="2"/>
        <v>0</v>
      </c>
      <c r="N24" s="54">
        <f t="shared" si="3"/>
        <v>0</v>
      </c>
      <c r="O24" s="52">
        <f t="shared" si="4"/>
        <v>0</v>
      </c>
      <c r="P24" s="65">
        <f t="shared" si="5"/>
        <v>2</v>
      </c>
    </row>
    <row r="25" spans="1:16" ht="15" x14ac:dyDescent="0.2">
      <c r="A25" s="58">
        <v>21</v>
      </c>
      <c r="B25" s="106"/>
      <c r="C25" s="54"/>
      <c r="D25" s="53"/>
      <c r="E25" s="52"/>
      <c r="F25" s="53"/>
      <c r="G25" s="52">
        <f t="shared" si="0"/>
        <v>0</v>
      </c>
      <c r="H25" s="104"/>
      <c r="I25" s="53"/>
      <c r="J25" s="53"/>
      <c r="K25" s="53"/>
      <c r="L25" s="52">
        <f t="shared" si="1"/>
        <v>0</v>
      </c>
      <c r="M25" s="64">
        <f t="shared" si="2"/>
        <v>0</v>
      </c>
      <c r="N25" s="54">
        <f t="shared" si="3"/>
        <v>0</v>
      </c>
      <c r="O25" s="52">
        <f t="shared" si="4"/>
        <v>0</v>
      </c>
      <c r="P25" s="65">
        <f t="shared" si="5"/>
        <v>2</v>
      </c>
    </row>
    <row r="26" spans="1:16" ht="15" x14ac:dyDescent="0.2">
      <c r="A26" s="58">
        <v>22</v>
      </c>
      <c r="B26" s="105"/>
      <c r="C26" s="54"/>
      <c r="D26" s="53"/>
      <c r="E26" s="52"/>
      <c r="F26" s="53"/>
      <c r="G26" s="52">
        <f t="shared" si="0"/>
        <v>0</v>
      </c>
      <c r="H26" s="104"/>
      <c r="I26" s="53"/>
      <c r="J26" s="53"/>
      <c r="K26" s="53"/>
      <c r="L26" s="52">
        <f t="shared" si="1"/>
        <v>0</v>
      </c>
      <c r="M26" s="64">
        <f t="shared" si="2"/>
        <v>0</v>
      </c>
      <c r="N26" s="54">
        <f t="shared" si="3"/>
        <v>0</v>
      </c>
      <c r="O26" s="52">
        <f t="shared" si="4"/>
        <v>0</v>
      </c>
      <c r="P26" s="65">
        <f t="shared" si="5"/>
        <v>2</v>
      </c>
    </row>
    <row r="27" spans="1:16" ht="15" x14ac:dyDescent="0.2">
      <c r="A27" s="58">
        <v>23</v>
      </c>
      <c r="B27" s="105"/>
      <c r="C27" s="54"/>
      <c r="D27" s="53"/>
      <c r="E27" s="52"/>
      <c r="F27" s="53"/>
      <c r="G27" s="52">
        <f t="shared" si="0"/>
        <v>0</v>
      </c>
      <c r="H27" s="104"/>
      <c r="I27" s="53"/>
      <c r="J27" s="53"/>
      <c r="K27" s="53"/>
      <c r="L27" s="52">
        <f t="shared" si="1"/>
        <v>0</v>
      </c>
      <c r="M27" s="64">
        <f t="shared" si="2"/>
        <v>0</v>
      </c>
      <c r="N27" s="54">
        <f t="shared" si="3"/>
        <v>0</v>
      </c>
      <c r="O27" s="52">
        <f t="shared" si="4"/>
        <v>0</v>
      </c>
      <c r="P27" s="65">
        <f t="shared" si="5"/>
        <v>2</v>
      </c>
    </row>
    <row r="28" spans="1:16" ht="15" x14ac:dyDescent="0.2">
      <c r="A28" s="58">
        <v>24</v>
      </c>
      <c r="B28" s="105"/>
      <c r="C28" s="54"/>
      <c r="D28" s="53"/>
      <c r="E28" s="52"/>
      <c r="F28" s="53"/>
      <c r="G28" s="52">
        <f t="shared" si="0"/>
        <v>0</v>
      </c>
      <c r="H28" s="104"/>
      <c r="I28" s="53"/>
      <c r="J28" s="53"/>
      <c r="K28" s="53"/>
      <c r="L28" s="52">
        <f t="shared" si="1"/>
        <v>0</v>
      </c>
      <c r="M28" s="64">
        <f t="shared" si="2"/>
        <v>0</v>
      </c>
      <c r="N28" s="54">
        <f t="shared" si="3"/>
        <v>0</v>
      </c>
      <c r="O28" s="52">
        <f t="shared" si="4"/>
        <v>0</v>
      </c>
      <c r="P28" s="65">
        <f t="shared" si="5"/>
        <v>2</v>
      </c>
    </row>
    <row r="29" spans="1:16" ht="15" x14ac:dyDescent="0.2">
      <c r="A29" s="58">
        <v>25</v>
      </c>
      <c r="B29" s="105"/>
      <c r="C29" s="54"/>
      <c r="D29" s="53"/>
      <c r="E29" s="52"/>
      <c r="F29" s="53"/>
      <c r="G29" s="52">
        <f t="shared" si="0"/>
        <v>0</v>
      </c>
      <c r="H29" s="104"/>
      <c r="I29" s="53"/>
      <c r="J29" s="52"/>
      <c r="K29" s="53"/>
      <c r="L29" s="52">
        <f t="shared" si="1"/>
        <v>0</v>
      </c>
      <c r="M29" s="64">
        <f t="shared" si="2"/>
        <v>0</v>
      </c>
      <c r="N29" s="54">
        <f t="shared" si="3"/>
        <v>0</v>
      </c>
      <c r="O29" s="52">
        <f t="shared" si="4"/>
        <v>0</v>
      </c>
      <c r="P29" s="65">
        <f t="shared" si="5"/>
        <v>2</v>
      </c>
    </row>
    <row r="30" spans="1:16" ht="15" x14ac:dyDescent="0.2">
      <c r="A30" s="58">
        <v>26</v>
      </c>
      <c r="B30" s="105"/>
      <c r="C30" s="54"/>
      <c r="D30" s="53"/>
      <c r="E30" s="52"/>
      <c r="F30" s="53"/>
      <c r="G30" s="52">
        <f t="shared" si="0"/>
        <v>0</v>
      </c>
      <c r="H30" s="104"/>
      <c r="I30" s="53"/>
      <c r="J30" s="52"/>
      <c r="K30" s="53"/>
      <c r="L30" s="52">
        <f t="shared" si="1"/>
        <v>0</v>
      </c>
      <c r="M30" s="64">
        <f t="shared" si="2"/>
        <v>0</v>
      </c>
      <c r="N30" s="54">
        <f t="shared" si="3"/>
        <v>0</v>
      </c>
      <c r="O30" s="52">
        <f t="shared" si="4"/>
        <v>0</v>
      </c>
      <c r="P30" s="65">
        <f t="shared" si="5"/>
        <v>2</v>
      </c>
    </row>
    <row r="31" spans="1:16" ht="15" x14ac:dyDescent="0.2">
      <c r="A31" s="58">
        <v>27</v>
      </c>
      <c r="B31" s="105"/>
      <c r="C31" s="54"/>
      <c r="D31" s="53"/>
      <c r="E31" s="52"/>
      <c r="F31" s="53"/>
      <c r="G31" s="52">
        <f t="shared" si="0"/>
        <v>0</v>
      </c>
      <c r="H31" s="104"/>
      <c r="I31" s="53"/>
      <c r="J31" s="52"/>
      <c r="K31" s="53"/>
      <c r="L31" s="52">
        <f t="shared" si="1"/>
        <v>0</v>
      </c>
      <c r="M31" s="64">
        <f t="shared" si="2"/>
        <v>0</v>
      </c>
      <c r="N31" s="54">
        <f t="shared" si="3"/>
        <v>0</v>
      </c>
      <c r="O31" s="52">
        <f t="shared" si="4"/>
        <v>0</v>
      </c>
      <c r="P31" s="65">
        <f t="shared" si="5"/>
        <v>2</v>
      </c>
    </row>
    <row r="32" spans="1:16" ht="15" x14ac:dyDescent="0.2">
      <c r="A32" s="58">
        <v>28</v>
      </c>
      <c r="B32" s="105"/>
      <c r="C32" s="54"/>
      <c r="D32" s="53"/>
      <c r="E32" s="52"/>
      <c r="F32" s="53"/>
      <c r="G32" s="52">
        <f t="shared" si="0"/>
        <v>0</v>
      </c>
      <c r="H32" s="104"/>
      <c r="I32" s="53"/>
      <c r="J32" s="53"/>
      <c r="K32" s="53"/>
      <c r="L32" s="52">
        <f t="shared" si="1"/>
        <v>0</v>
      </c>
      <c r="M32" s="64">
        <f t="shared" si="2"/>
        <v>0</v>
      </c>
      <c r="N32" s="54">
        <f t="shared" si="3"/>
        <v>0</v>
      </c>
      <c r="O32" s="52">
        <f t="shared" si="4"/>
        <v>0</v>
      </c>
      <c r="P32" s="65">
        <f t="shared" si="5"/>
        <v>2</v>
      </c>
    </row>
    <row r="33" spans="1:16" ht="15" x14ac:dyDescent="0.2">
      <c r="A33" s="58">
        <v>29</v>
      </c>
      <c r="B33" s="138"/>
      <c r="C33" s="139"/>
      <c r="D33" s="140"/>
      <c r="E33" s="141"/>
      <c r="F33" s="140"/>
      <c r="G33" s="141">
        <f t="shared" ref="G33:G54" si="6">SUM(E33-F33)</f>
        <v>0</v>
      </c>
      <c r="H33" s="142"/>
      <c r="I33" s="140"/>
      <c r="J33" s="140"/>
      <c r="K33" s="140"/>
      <c r="L33" s="141">
        <f t="shared" ref="L33:L54" si="7">SUM(J33-K33)</f>
        <v>0</v>
      </c>
      <c r="M33" s="143">
        <f t="shared" ref="M33:M54" si="8">MAX(D33,I33)</f>
        <v>0</v>
      </c>
      <c r="N33" s="139">
        <f t="shared" ref="N33:N54" si="9">SUM(C33+H33)</f>
        <v>0</v>
      </c>
      <c r="O33" s="141">
        <f t="shared" ref="O33:O54" si="10">SUM(G33+L33)</f>
        <v>0</v>
      </c>
      <c r="P33" s="147">
        <f t="shared" ref="P33:P54" si="11">IF(N33&gt;0,33-A33,2)</f>
        <v>2</v>
      </c>
    </row>
    <row r="34" spans="1:16" ht="15" x14ac:dyDescent="0.2">
      <c r="A34" s="58">
        <v>30</v>
      </c>
      <c r="B34" s="138"/>
      <c r="C34" s="139"/>
      <c r="D34" s="140"/>
      <c r="E34" s="141"/>
      <c r="F34" s="140"/>
      <c r="G34" s="141">
        <f t="shared" si="6"/>
        <v>0</v>
      </c>
      <c r="H34" s="142"/>
      <c r="I34" s="140"/>
      <c r="J34" s="140"/>
      <c r="K34" s="140"/>
      <c r="L34" s="141">
        <f t="shared" si="7"/>
        <v>0</v>
      </c>
      <c r="M34" s="143">
        <f t="shared" si="8"/>
        <v>0</v>
      </c>
      <c r="N34" s="139">
        <f t="shared" si="9"/>
        <v>0</v>
      </c>
      <c r="O34" s="141">
        <f t="shared" si="10"/>
        <v>0</v>
      </c>
      <c r="P34" s="147">
        <f t="shared" si="11"/>
        <v>2</v>
      </c>
    </row>
    <row r="35" spans="1:16" ht="15" x14ac:dyDescent="0.2">
      <c r="A35" s="58">
        <v>31</v>
      </c>
      <c r="B35" s="138"/>
      <c r="C35" s="139"/>
      <c r="D35" s="140"/>
      <c r="E35" s="141"/>
      <c r="F35" s="140"/>
      <c r="G35" s="141">
        <f t="shared" si="6"/>
        <v>0</v>
      </c>
      <c r="H35" s="142"/>
      <c r="I35" s="140"/>
      <c r="J35" s="140"/>
      <c r="K35" s="140"/>
      <c r="L35" s="141">
        <f t="shared" si="7"/>
        <v>0</v>
      </c>
      <c r="M35" s="143">
        <f t="shared" si="8"/>
        <v>0</v>
      </c>
      <c r="N35" s="139">
        <f t="shared" si="9"/>
        <v>0</v>
      </c>
      <c r="O35" s="141">
        <f t="shared" si="10"/>
        <v>0</v>
      </c>
      <c r="P35" s="147">
        <f t="shared" si="11"/>
        <v>2</v>
      </c>
    </row>
    <row r="36" spans="1:16" ht="15" x14ac:dyDescent="0.2">
      <c r="A36" s="58">
        <v>32</v>
      </c>
      <c r="B36" s="138"/>
      <c r="C36" s="139"/>
      <c r="D36" s="140"/>
      <c r="E36" s="141"/>
      <c r="F36" s="140"/>
      <c r="G36" s="141">
        <f t="shared" si="6"/>
        <v>0</v>
      </c>
      <c r="H36" s="142"/>
      <c r="I36" s="140"/>
      <c r="J36" s="140"/>
      <c r="K36" s="140"/>
      <c r="L36" s="141">
        <f t="shared" si="7"/>
        <v>0</v>
      </c>
      <c r="M36" s="143">
        <f t="shared" si="8"/>
        <v>0</v>
      </c>
      <c r="N36" s="139">
        <f t="shared" si="9"/>
        <v>0</v>
      </c>
      <c r="O36" s="141">
        <f t="shared" si="10"/>
        <v>0</v>
      </c>
      <c r="P36" s="147">
        <f t="shared" si="11"/>
        <v>2</v>
      </c>
    </row>
    <row r="37" spans="1:16" ht="15" x14ac:dyDescent="0.2">
      <c r="A37" s="58">
        <v>33</v>
      </c>
      <c r="B37" s="138"/>
      <c r="C37" s="139"/>
      <c r="D37" s="140"/>
      <c r="E37" s="141"/>
      <c r="F37" s="140"/>
      <c r="G37" s="141">
        <f t="shared" si="6"/>
        <v>0</v>
      </c>
      <c r="H37" s="142"/>
      <c r="I37" s="140"/>
      <c r="J37" s="140"/>
      <c r="K37" s="140"/>
      <c r="L37" s="141">
        <f t="shared" si="7"/>
        <v>0</v>
      </c>
      <c r="M37" s="143">
        <f t="shared" si="8"/>
        <v>0</v>
      </c>
      <c r="N37" s="139">
        <f t="shared" si="9"/>
        <v>0</v>
      </c>
      <c r="O37" s="141">
        <f t="shared" si="10"/>
        <v>0</v>
      </c>
      <c r="P37" s="147">
        <f t="shared" si="11"/>
        <v>2</v>
      </c>
    </row>
    <row r="38" spans="1:16" ht="15" x14ac:dyDescent="0.2">
      <c r="A38" s="58">
        <v>34</v>
      </c>
      <c r="B38" s="138"/>
      <c r="C38" s="139"/>
      <c r="D38" s="140"/>
      <c r="E38" s="141"/>
      <c r="F38" s="140"/>
      <c r="G38" s="141">
        <f t="shared" si="6"/>
        <v>0</v>
      </c>
      <c r="H38" s="142"/>
      <c r="I38" s="140"/>
      <c r="J38" s="140"/>
      <c r="K38" s="140"/>
      <c r="L38" s="141">
        <f t="shared" si="7"/>
        <v>0</v>
      </c>
      <c r="M38" s="143">
        <f t="shared" si="8"/>
        <v>0</v>
      </c>
      <c r="N38" s="139">
        <f t="shared" si="9"/>
        <v>0</v>
      </c>
      <c r="O38" s="141">
        <f t="shared" si="10"/>
        <v>0</v>
      </c>
      <c r="P38" s="147">
        <f t="shared" si="11"/>
        <v>2</v>
      </c>
    </row>
    <row r="39" spans="1:16" ht="15" x14ac:dyDescent="0.2">
      <c r="A39" s="58">
        <v>35</v>
      </c>
      <c r="B39" s="138"/>
      <c r="C39" s="139"/>
      <c r="D39" s="140"/>
      <c r="E39" s="141"/>
      <c r="F39" s="140"/>
      <c r="G39" s="141">
        <f t="shared" si="6"/>
        <v>0</v>
      </c>
      <c r="H39" s="142"/>
      <c r="I39" s="140"/>
      <c r="J39" s="140"/>
      <c r="K39" s="140"/>
      <c r="L39" s="141">
        <f t="shared" si="7"/>
        <v>0</v>
      </c>
      <c r="M39" s="143">
        <f t="shared" si="8"/>
        <v>0</v>
      </c>
      <c r="N39" s="139">
        <f t="shared" si="9"/>
        <v>0</v>
      </c>
      <c r="O39" s="141">
        <f t="shared" si="10"/>
        <v>0</v>
      </c>
      <c r="P39" s="147">
        <f t="shared" si="11"/>
        <v>2</v>
      </c>
    </row>
    <row r="40" spans="1:16" ht="15" x14ac:dyDescent="0.2">
      <c r="A40" s="58">
        <v>36</v>
      </c>
      <c r="B40" s="138"/>
      <c r="C40" s="139"/>
      <c r="D40" s="140"/>
      <c r="E40" s="141"/>
      <c r="F40" s="140"/>
      <c r="G40" s="141">
        <f t="shared" si="6"/>
        <v>0</v>
      </c>
      <c r="H40" s="142"/>
      <c r="I40" s="140"/>
      <c r="J40" s="140"/>
      <c r="K40" s="140"/>
      <c r="L40" s="141">
        <f t="shared" si="7"/>
        <v>0</v>
      </c>
      <c r="M40" s="143">
        <f t="shared" si="8"/>
        <v>0</v>
      </c>
      <c r="N40" s="139">
        <f t="shared" si="9"/>
        <v>0</v>
      </c>
      <c r="O40" s="141">
        <f t="shared" si="10"/>
        <v>0</v>
      </c>
      <c r="P40" s="147">
        <f t="shared" si="11"/>
        <v>2</v>
      </c>
    </row>
    <row r="41" spans="1:16" ht="15" x14ac:dyDescent="0.2">
      <c r="A41" s="58">
        <v>37</v>
      </c>
      <c r="B41" s="138"/>
      <c r="C41" s="139"/>
      <c r="D41" s="140"/>
      <c r="E41" s="141"/>
      <c r="F41" s="140"/>
      <c r="G41" s="141">
        <f t="shared" si="6"/>
        <v>0</v>
      </c>
      <c r="H41" s="142"/>
      <c r="I41" s="140"/>
      <c r="J41" s="140"/>
      <c r="K41" s="140"/>
      <c r="L41" s="141">
        <f t="shared" si="7"/>
        <v>0</v>
      </c>
      <c r="M41" s="143">
        <f t="shared" si="8"/>
        <v>0</v>
      </c>
      <c r="N41" s="139">
        <f t="shared" si="9"/>
        <v>0</v>
      </c>
      <c r="O41" s="141">
        <f t="shared" si="10"/>
        <v>0</v>
      </c>
      <c r="P41" s="147">
        <f t="shared" si="11"/>
        <v>2</v>
      </c>
    </row>
    <row r="42" spans="1:16" ht="15" x14ac:dyDescent="0.2">
      <c r="A42" s="58">
        <v>38</v>
      </c>
      <c r="B42" s="138"/>
      <c r="C42" s="139"/>
      <c r="D42" s="140"/>
      <c r="E42" s="141"/>
      <c r="F42" s="140"/>
      <c r="G42" s="141">
        <f t="shared" si="6"/>
        <v>0</v>
      </c>
      <c r="H42" s="142"/>
      <c r="I42" s="140"/>
      <c r="J42" s="140"/>
      <c r="K42" s="140"/>
      <c r="L42" s="141">
        <f t="shared" si="7"/>
        <v>0</v>
      </c>
      <c r="M42" s="143">
        <f t="shared" si="8"/>
        <v>0</v>
      </c>
      <c r="N42" s="139">
        <f t="shared" si="9"/>
        <v>0</v>
      </c>
      <c r="O42" s="141">
        <f t="shared" si="10"/>
        <v>0</v>
      </c>
      <c r="P42" s="147">
        <f t="shared" si="11"/>
        <v>2</v>
      </c>
    </row>
    <row r="43" spans="1:16" ht="15" x14ac:dyDescent="0.2">
      <c r="A43" s="58">
        <v>39</v>
      </c>
      <c r="B43" s="138"/>
      <c r="C43" s="139"/>
      <c r="D43" s="140"/>
      <c r="E43" s="141"/>
      <c r="F43" s="140"/>
      <c r="G43" s="141">
        <f t="shared" si="6"/>
        <v>0</v>
      </c>
      <c r="H43" s="142"/>
      <c r="I43" s="140"/>
      <c r="J43" s="140"/>
      <c r="K43" s="140"/>
      <c r="L43" s="141">
        <f t="shared" si="7"/>
        <v>0</v>
      </c>
      <c r="M43" s="143">
        <f t="shared" si="8"/>
        <v>0</v>
      </c>
      <c r="N43" s="139">
        <f t="shared" si="9"/>
        <v>0</v>
      </c>
      <c r="O43" s="141">
        <f t="shared" si="10"/>
        <v>0</v>
      </c>
      <c r="P43" s="147">
        <f t="shared" si="11"/>
        <v>2</v>
      </c>
    </row>
    <row r="44" spans="1:16" ht="15" x14ac:dyDescent="0.2">
      <c r="A44" s="58">
        <v>40</v>
      </c>
      <c r="B44" s="138"/>
      <c r="C44" s="139"/>
      <c r="D44" s="140"/>
      <c r="E44" s="141"/>
      <c r="F44" s="140"/>
      <c r="G44" s="141">
        <f t="shared" si="6"/>
        <v>0</v>
      </c>
      <c r="H44" s="142"/>
      <c r="I44" s="140"/>
      <c r="J44" s="140"/>
      <c r="K44" s="140"/>
      <c r="L44" s="141">
        <f t="shared" si="7"/>
        <v>0</v>
      </c>
      <c r="M44" s="143">
        <f t="shared" si="8"/>
        <v>0</v>
      </c>
      <c r="N44" s="139">
        <f t="shared" si="9"/>
        <v>0</v>
      </c>
      <c r="O44" s="141">
        <f t="shared" si="10"/>
        <v>0</v>
      </c>
      <c r="P44" s="147">
        <f t="shared" si="11"/>
        <v>2</v>
      </c>
    </row>
    <row r="45" spans="1:16" ht="15" x14ac:dyDescent="0.2">
      <c r="A45" s="58">
        <v>41</v>
      </c>
      <c r="B45" s="138"/>
      <c r="C45" s="139"/>
      <c r="D45" s="140"/>
      <c r="E45" s="141"/>
      <c r="F45" s="140"/>
      <c r="G45" s="141">
        <f t="shared" si="6"/>
        <v>0</v>
      </c>
      <c r="H45" s="142"/>
      <c r="I45" s="140"/>
      <c r="J45" s="140"/>
      <c r="K45" s="140"/>
      <c r="L45" s="141">
        <f t="shared" si="7"/>
        <v>0</v>
      </c>
      <c r="M45" s="143">
        <f t="shared" si="8"/>
        <v>0</v>
      </c>
      <c r="N45" s="139">
        <f t="shared" si="9"/>
        <v>0</v>
      </c>
      <c r="O45" s="141">
        <f t="shared" si="10"/>
        <v>0</v>
      </c>
      <c r="P45" s="147">
        <f t="shared" si="11"/>
        <v>2</v>
      </c>
    </row>
    <row r="46" spans="1:16" ht="15" x14ac:dyDescent="0.2">
      <c r="A46" s="58">
        <v>42</v>
      </c>
      <c r="B46" s="138"/>
      <c r="C46" s="139"/>
      <c r="D46" s="140"/>
      <c r="E46" s="141"/>
      <c r="F46" s="140"/>
      <c r="G46" s="141">
        <f t="shared" si="6"/>
        <v>0</v>
      </c>
      <c r="H46" s="142"/>
      <c r="I46" s="140"/>
      <c r="J46" s="140"/>
      <c r="K46" s="140"/>
      <c r="L46" s="141">
        <f t="shared" si="7"/>
        <v>0</v>
      </c>
      <c r="M46" s="143">
        <f t="shared" si="8"/>
        <v>0</v>
      </c>
      <c r="N46" s="139">
        <f t="shared" si="9"/>
        <v>0</v>
      </c>
      <c r="O46" s="141">
        <f t="shared" si="10"/>
        <v>0</v>
      </c>
      <c r="P46" s="147">
        <f t="shared" si="11"/>
        <v>2</v>
      </c>
    </row>
    <row r="47" spans="1:16" ht="15" x14ac:dyDescent="0.2">
      <c r="A47" s="58">
        <v>43</v>
      </c>
      <c r="B47" s="138"/>
      <c r="C47" s="139"/>
      <c r="D47" s="140"/>
      <c r="E47" s="141"/>
      <c r="F47" s="140"/>
      <c r="G47" s="141">
        <f t="shared" si="6"/>
        <v>0</v>
      </c>
      <c r="H47" s="142"/>
      <c r="I47" s="140"/>
      <c r="J47" s="140"/>
      <c r="K47" s="140"/>
      <c r="L47" s="141">
        <f t="shared" si="7"/>
        <v>0</v>
      </c>
      <c r="M47" s="143">
        <f t="shared" si="8"/>
        <v>0</v>
      </c>
      <c r="N47" s="139">
        <f t="shared" si="9"/>
        <v>0</v>
      </c>
      <c r="O47" s="141">
        <f t="shared" si="10"/>
        <v>0</v>
      </c>
      <c r="P47" s="147">
        <f t="shared" si="11"/>
        <v>2</v>
      </c>
    </row>
    <row r="48" spans="1:16" ht="15" x14ac:dyDescent="0.2">
      <c r="A48" s="58">
        <v>44</v>
      </c>
      <c r="B48" s="138"/>
      <c r="C48" s="139"/>
      <c r="D48" s="140"/>
      <c r="E48" s="141"/>
      <c r="F48" s="140"/>
      <c r="G48" s="141">
        <f t="shared" si="6"/>
        <v>0</v>
      </c>
      <c r="H48" s="142"/>
      <c r="I48" s="140"/>
      <c r="J48" s="140"/>
      <c r="K48" s="140"/>
      <c r="L48" s="141">
        <f t="shared" si="7"/>
        <v>0</v>
      </c>
      <c r="M48" s="143">
        <f t="shared" si="8"/>
        <v>0</v>
      </c>
      <c r="N48" s="139">
        <f t="shared" si="9"/>
        <v>0</v>
      </c>
      <c r="O48" s="141">
        <f t="shared" si="10"/>
        <v>0</v>
      </c>
      <c r="P48" s="147">
        <f t="shared" si="11"/>
        <v>2</v>
      </c>
    </row>
    <row r="49" spans="1:17" ht="15" x14ac:dyDescent="0.2">
      <c r="A49" s="58">
        <v>45</v>
      </c>
      <c r="B49" s="138"/>
      <c r="C49" s="139"/>
      <c r="D49" s="140"/>
      <c r="E49" s="141"/>
      <c r="F49" s="140"/>
      <c r="G49" s="141">
        <f t="shared" si="6"/>
        <v>0</v>
      </c>
      <c r="H49" s="142"/>
      <c r="I49" s="140"/>
      <c r="J49" s="140"/>
      <c r="K49" s="140"/>
      <c r="L49" s="141">
        <f t="shared" si="7"/>
        <v>0</v>
      </c>
      <c r="M49" s="143">
        <f t="shared" si="8"/>
        <v>0</v>
      </c>
      <c r="N49" s="139">
        <f t="shared" si="9"/>
        <v>0</v>
      </c>
      <c r="O49" s="141">
        <f t="shared" si="10"/>
        <v>0</v>
      </c>
      <c r="P49" s="147">
        <f t="shared" si="11"/>
        <v>2</v>
      </c>
    </row>
    <row r="50" spans="1:17" ht="15" x14ac:dyDescent="0.2">
      <c r="A50" s="58">
        <v>46</v>
      </c>
      <c r="B50" s="138"/>
      <c r="C50" s="139"/>
      <c r="D50" s="140"/>
      <c r="E50" s="141"/>
      <c r="F50" s="140"/>
      <c r="G50" s="141">
        <f t="shared" si="6"/>
        <v>0</v>
      </c>
      <c r="H50" s="142"/>
      <c r="I50" s="140"/>
      <c r="J50" s="140"/>
      <c r="K50" s="140"/>
      <c r="L50" s="141">
        <f t="shared" si="7"/>
        <v>0</v>
      </c>
      <c r="M50" s="143">
        <f t="shared" si="8"/>
        <v>0</v>
      </c>
      <c r="N50" s="139">
        <f t="shared" si="9"/>
        <v>0</v>
      </c>
      <c r="O50" s="141">
        <f t="shared" si="10"/>
        <v>0</v>
      </c>
      <c r="P50" s="147">
        <f t="shared" si="11"/>
        <v>2</v>
      </c>
    </row>
    <row r="51" spans="1:17" ht="15" x14ac:dyDescent="0.2">
      <c r="A51" s="58">
        <v>47</v>
      </c>
      <c r="B51" s="138"/>
      <c r="C51" s="139"/>
      <c r="D51" s="140"/>
      <c r="E51" s="141"/>
      <c r="F51" s="140"/>
      <c r="G51" s="141">
        <f t="shared" si="6"/>
        <v>0</v>
      </c>
      <c r="H51" s="142"/>
      <c r="I51" s="140"/>
      <c r="J51" s="140"/>
      <c r="K51" s="140"/>
      <c r="L51" s="141">
        <f t="shared" si="7"/>
        <v>0</v>
      </c>
      <c r="M51" s="143">
        <f t="shared" si="8"/>
        <v>0</v>
      </c>
      <c r="N51" s="139">
        <f t="shared" si="9"/>
        <v>0</v>
      </c>
      <c r="O51" s="141">
        <f t="shared" si="10"/>
        <v>0</v>
      </c>
      <c r="P51" s="147">
        <f t="shared" si="11"/>
        <v>2</v>
      </c>
    </row>
    <row r="52" spans="1:17" ht="15" x14ac:dyDescent="0.2">
      <c r="A52" s="58">
        <v>48</v>
      </c>
      <c r="B52" s="138"/>
      <c r="C52" s="139"/>
      <c r="D52" s="140"/>
      <c r="E52" s="141"/>
      <c r="F52" s="140"/>
      <c r="G52" s="141">
        <f t="shared" si="6"/>
        <v>0</v>
      </c>
      <c r="H52" s="142"/>
      <c r="I52" s="140"/>
      <c r="J52" s="140"/>
      <c r="K52" s="140"/>
      <c r="L52" s="141">
        <f t="shared" si="7"/>
        <v>0</v>
      </c>
      <c r="M52" s="143">
        <f t="shared" si="8"/>
        <v>0</v>
      </c>
      <c r="N52" s="139">
        <f t="shared" si="9"/>
        <v>0</v>
      </c>
      <c r="O52" s="141">
        <f t="shared" si="10"/>
        <v>0</v>
      </c>
      <c r="P52" s="147">
        <f t="shared" si="11"/>
        <v>2</v>
      </c>
    </row>
    <row r="53" spans="1:17" ht="15" x14ac:dyDescent="0.2">
      <c r="A53" s="58">
        <v>49</v>
      </c>
      <c r="B53" s="138"/>
      <c r="C53" s="139"/>
      <c r="D53" s="140"/>
      <c r="E53" s="141"/>
      <c r="F53" s="140"/>
      <c r="G53" s="141">
        <f t="shared" si="6"/>
        <v>0</v>
      </c>
      <c r="H53" s="142"/>
      <c r="I53" s="140"/>
      <c r="J53" s="140"/>
      <c r="K53" s="140"/>
      <c r="L53" s="141">
        <f t="shared" si="7"/>
        <v>0</v>
      </c>
      <c r="M53" s="143">
        <f t="shared" si="8"/>
        <v>0</v>
      </c>
      <c r="N53" s="139">
        <f t="shared" si="9"/>
        <v>0</v>
      </c>
      <c r="O53" s="141">
        <f t="shared" si="10"/>
        <v>0</v>
      </c>
      <c r="P53" s="147">
        <f t="shared" si="11"/>
        <v>2</v>
      </c>
    </row>
    <row r="54" spans="1:17" ht="15" x14ac:dyDescent="0.2">
      <c r="A54" s="58">
        <v>50</v>
      </c>
      <c r="B54" s="138"/>
      <c r="C54" s="139"/>
      <c r="D54" s="140"/>
      <c r="E54" s="141"/>
      <c r="F54" s="140"/>
      <c r="G54" s="141">
        <f t="shared" si="6"/>
        <v>0</v>
      </c>
      <c r="H54" s="142"/>
      <c r="I54" s="140"/>
      <c r="J54" s="140"/>
      <c r="K54" s="140"/>
      <c r="L54" s="141">
        <f t="shared" si="7"/>
        <v>0</v>
      </c>
      <c r="M54" s="143">
        <f t="shared" si="8"/>
        <v>0</v>
      </c>
      <c r="N54" s="139">
        <f t="shared" si="9"/>
        <v>0</v>
      </c>
      <c r="O54" s="141">
        <f t="shared" si="10"/>
        <v>0</v>
      </c>
      <c r="P54" s="147">
        <f t="shared" si="11"/>
        <v>2</v>
      </c>
    </row>
    <row r="55" spans="1:17" ht="15" x14ac:dyDescent="0.2">
      <c r="A55" s="58"/>
      <c r="B55" s="105"/>
      <c r="C55" s="54"/>
      <c r="D55" s="53"/>
      <c r="E55" s="52"/>
      <c r="F55" s="53"/>
      <c r="G55" s="52"/>
      <c r="H55" s="54"/>
      <c r="I55" s="53"/>
      <c r="J55" s="53"/>
      <c r="K55" s="53"/>
      <c r="L55" s="52"/>
      <c r="M55" s="52"/>
      <c r="N55" s="54"/>
      <c r="O55" s="52"/>
      <c r="P55" s="53"/>
    </row>
    <row r="56" spans="1:17" s="81" customFormat="1" ht="15.75" x14ac:dyDescent="0.2">
      <c r="A56" s="84"/>
      <c r="B56" s="2"/>
      <c r="C56" s="35"/>
      <c r="D56" s="36"/>
      <c r="E56" s="36"/>
      <c r="F56" s="36"/>
      <c r="G56" s="37"/>
      <c r="H56" s="35"/>
      <c r="I56" s="36"/>
      <c r="J56" s="36"/>
      <c r="K56" s="36"/>
      <c r="L56" s="37"/>
      <c r="M56" s="35"/>
      <c r="N56" s="38"/>
      <c r="O56" s="39"/>
      <c r="P56" s="85"/>
      <c r="Q56" s="82"/>
    </row>
    <row r="57" spans="1:17" s="81" customFormat="1" ht="33.75" customHeight="1" x14ac:dyDescent="0.25">
      <c r="A57" s="175" t="s">
        <v>88</v>
      </c>
      <c r="B57" s="175"/>
      <c r="C57" s="114">
        <f>COUNT(table7[Number of Fish])</f>
        <v>0</v>
      </c>
      <c r="D57" s="114"/>
      <c r="E57" s="114"/>
      <c r="F57" s="114"/>
      <c r="G57" s="115"/>
      <c r="H57" s="114">
        <f>COUNT(table7[Number of Fish2])</f>
        <v>0</v>
      </c>
      <c r="I57" s="114"/>
      <c r="J57" s="114"/>
      <c r="K57" s="114"/>
      <c r="L57" s="115"/>
      <c r="M57" s="115"/>
      <c r="N57" s="114">
        <f>SUM(table7[FISH COUNT])</f>
        <v>0</v>
      </c>
      <c r="O57" s="66"/>
      <c r="P57" s="67"/>
    </row>
    <row r="58" spans="1:17" s="81" customFormat="1" ht="15.75" x14ac:dyDescent="0.25">
      <c r="A58" s="182" t="s">
        <v>89</v>
      </c>
      <c r="B58" s="182"/>
      <c r="C58" s="114">
        <f>SUM(table7[Number of Fish])</f>
        <v>0</v>
      </c>
      <c r="D58" s="116"/>
      <c r="E58" s="116"/>
      <c r="F58" s="116"/>
      <c r="G58" s="115"/>
      <c r="H58" s="114">
        <f>SUM(table7[Number of Fish2])</f>
        <v>0</v>
      </c>
      <c r="I58" s="116"/>
      <c r="J58" s="116"/>
      <c r="K58" s="116"/>
      <c r="L58" s="115"/>
      <c r="M58" s="115"/>
      <c r="N58" s="116">
        <f>SUM(table7[FISH COUNT])</f>
        <v>0</v>
      </c>
      <c r="O58" s="66"/>
      <c r="P58" s="67"/>
    </row>
    <row r="59" spans="1:17" s="81" customFormat="1" ht="15.75" x14ac:dyDescent="0.25">
      <c r="A59" s="175" t="s">
        <v>90</v>
      </c>
      <c r="B59" s="175"/>
      <c r="C59" s="117">
        <f>SUM(table7[Total Weight])</f>
        <v>0</v>
      </c>
      <c r="D59" s="117"/>
      <c r="E59" s="117"/>
      <c r="F59" s="117"/>
      <c r="G59" s="115"/>
      <c r="H59" s="117">
        <f>SUM(table7[Total Weight2])</f>
        <v>0</v>
      </c>
      <c r="I59" s="117"/>
      <c r="J59" s="117"/>
      <c r="K59" s="117"/>
      <c r="L59" s="115"/>
      <c r="M59" s="115"/>
      <c r="N59" s="117">
        <f>SUM(table7[WEIGHT])</f>
        <v>0</v>
      </c>
      <c r="O59" s="66"/>
      <c r="P59" s="67"/>
    </row>
    <row r="60" spans="1:17" ht="15.75" x14ac:dyDescent="0.25">
      <c r="A60" s="175" t="s">
        <v>91</v>
      </c>
      <c r="B60" s="175"/>
      <c r="C60" s="117" t="e">
        <f>C59/C58</f>
        <v>#DIV/0!</v>
      </c>
      <c r="D60" s="117"/>
      <c r="E60" s="117"/>
      <c r="F60" s="117"/>
      <c r="G60" s="118"/>
      <c r="H60" s="117" t="e">
        <f>H59/H58</f>
        <v>#DIV/0!</v>
      </c>
      <c r="I60" s="117"/>
      <c r="J60" s="117"/>
      <c r="K60" s="117"/>
      <c r="L60" s="118"/>
      <c r="M60" s="118"/>
      <c r="N60" s="117" t="e">
        <f>N59/N58</f>
        <v>#DIV/0!</v>
      </c>
      <c r="O60" s="66"/>
      <c r="P60" s="67"/>
    </row>
    <row r="61" spans="1:17" ht="15.75" x14ac:dyDescent="0.25">
      <c r="A61" s="175" t="s">
        <v>92</v>
      </c>
      <c r="B61" s="175"/>
      <c r="C61" s="117" t="e">
        <f>C58/C57</f>
        <v>#DIV/0!</v>
      </c>
      <c r="D61" s="117"/>
      <c r="E61" s="117"/>
      <c r="F61" s="117"/>
      <c r="G61" s="118"/>
      <c r="H61" s="117" t="e">
        <f>H58/H57</f>
        <v>#DIV/0!</v>
      </c>
      <c r="I61" s="117"/>
      <c r="J61" s="117"/>
      <c r="K61" s="117"/>
      <c r="L61" s="118"/>
      <c r="M61" s="118"/>
      <c r="N61" s="117" t="e">
        <f>N58/N57</f>
        <v>#DIV/0!</v>
      </c>
      <c r="O61" s="66"/>
      <c r="P61" s="67"/>
    </row>
  </sheetData>
  <mergeCells count="8">
    <mergeCell ref="A60:B60"/>
    <mergeCell ref="A61:B61"/>
    <mergeCell ref="A1:P1"/>
    <mergeCell ref="A2:P2"/>
    <mergeCell ref="M3:O3"/>
    <mergeCell ref="A57:B57"/>
    <mergeCell ref="A58:B58"/>
    <mergeCell ref="A59:B59"/>
  </mergeCells>
  <conditionalFormatting sqref="B5">
    <cfRule type="duplicateValues" dxfId="10" priority="1"/>
  </conditionalFormatting>
  <printOptions horizontalCentered="1" verticalCentered="1"/>
  <pageMargins left="0.25" right="0.25" top="0.25" bottom="0.25" header="0.3" footer="0.3"/>
  <pageSetup scale="83" orientation="landscape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B5:B54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62"/>
  <sheetViews>
    <sheetView topLeftCell="A28" zoomScale="70" zoomScaleNormal="70" workbookViewId="0">
      <selection activeCell="D17" sqref="D17"/>
    </sheetView>
  </sheetViews>
  <sheetFormatPr defaultColWidth="9.140625" defaultRowHeight="15.75" x14ac:dyDescent="0.25"/>
  <cols>
    <col min="1" max="1" width="7.28515625" style="5" bestFit="1" customWidth="1"/>
    <col min="2" max="2" width="32" style="10" customWidth="1"/>
    <col min="3" max="3" width="25.42578125" style="1" bestFit="1" customWidth="1"/>
    <col min="4" max="4" width="16.7109375" style="1" bestFit="1" customWidth="1"/>
    <col min="5" max="5" width="22" style="1" bestFit="1" customWidth="1"/>
    <col min="6" max="6" width="16" style="1" bestFit="1" customWidth="1"/>
    <col min="7" max="7" width="20" style="1" bestFit="1" customWidth="1"/>
    <col min="8" max="8" width="21.42578125" style="7" bestFit="1" customWidth="1"/>
    <col min="9" max="9" width="9.140625" style="2"/>
    <col min="10" max="10" width="7.28515625" style="2" bestFit="1" customWidth="1"/>
    <col min="11" max="16384" width="9.140625" style="2"/>
  </cols>
  <sheetData>
    <row r="1" spans="1:10" ht="31.5" x14ac:dyDescent="0.6">
      <c r="A1" s="171" t="s">
        <v>256</v>
      </c>
      <c r="B1" s="171"/>
      <c r="C1" s="171"/>
      <c r="D1" s="171"/>
      <c r="E1" s="171"/>
      <c r="F1" s="171"/>
      <c r="G1" s="171"/>
      <c r="H1" s="171"/>
    </row>
    <row r="2" spans="1:10" ht="20.25" x14ac:dyDescent="0.3">
      <c r="A2" s="172" t="s">
        <v>282</v>
      </c>
      <c r="B2" s="172"/>
      <c r="C2" s="172"/>
      <c r="D2" s="172"/>
      <c r="E2" s="172"/>
      <c r="F2" s="172"/>
      <c r="G2" s="172"/>
      <c r="H2" s="172"/>
    </row>
    <row r="3" spans="1:10" x14ac:dyDescent="0.25">
      <c r="A3" s="87" t="s">
        <v>183</v>
      </c>
      <c r="B3" s="95" t="s">
        <v>22</v>
      </c>
      <c r="C3" s="96" t="s">
        <v>213</v>
      </c>
      <c r="D3" s="97" t="s">
        <v>181</v>
      </c>
      <c r="E3" s="97" t="s">
        <v>214</v>
      </c>
      <c r="F3" s="97" t="s">
        <v>179</v>
      </c>
      <c r="G3" s="97" t="s">
        <v>215</v>
      </c>
      <c r="H3" s="98" t="s">
        <v>216</v>
      </c>
      <c r="I3"/>
      <c r="J3" s="7"/>
    </row>
    <row r="4" spans="1:10" ht="15" x14ac:dyDescent="0.2">
      <c r="A4" s="107">
        <v>1</v>
      </c>
      <c r="B4" s="30"/>
      <c r="C4" s="89"/>
      <c r="D4" s="90"/>
      <c r="E4" s="90"/>
      <c r="F4" s="90"/>
      <c r="G4" s="90">
        <f t="shared" ref="G4:G5" si="0">E4-F4</f>
        <v>0</v>
      </c>
      <c r="H4" s="28">
        <f>IF(table8[[#This Row],[Net Weight]]&gt;0,IF(A4&lt;31,33-A4,2),2)</f>
        <v>2</v>
      </c>
      <c r="I4"/>
      <c r="J4" s="7"/>
    </row>
    <row r="5" spans="1:10" s="3" customFormat="1" ht="15" x14ac:dyDescent="0.2">
      <c r="A5" s="107">
        <v>2</v>
      </c>
      <c r="B5" s="107"/>
      <c r="C5" s="107"/>
      <c r="D5" s="110"/>
      <c r="E5" s="110"/>
      <c r="F5" s="110"/>
      <c r="G5" s="110">
        <f t="shared" si="0"/>
        <v>0</v>
      </c>
      <c r="H5" s="28">
        <f>IF(table8[[#This Row],[Net Weight]]&gt;0,IF(A5&lt;31,33-A5,2),2)</f>
        <v>2</v>
      </c>
      <c r="J5" s="27"/>
    </row>
    <row r="6" spans="1:10" s="3" customFormat="1" ht="15" x14ac:dyDescent="0.2">
      <c r="A6" s="107">
        <v>3</v>
      </c>
      <c r="B6" s="89"/>
      <c r="C6" s="89"/>
      <c r="D6" s="90"/>
      <c r="E6" s="90"/>
      <c r="F6" s="90"/>
      <c r="G6" s="90">
        <f t="shared" ref="G6:G34" si="1">E6-F6</f>
        <v>0</v>
      </c>
      <c r="H6" s="28">
        <f>IF(table8[[#This Row],[Net Weight]]&gt;0,IF(A6&lt;31,33-A6,2),2)</f>
        <v>2</v>
      </c>
      <c r="J6" s="27"/>
    </row>
    <row r="7" spans="1:10" ht="15" x14ac:dyDescent="0.2">
      <c r="A7" s="107">
        <v>4</v>
      </c>
      <c r="B7" s="107"/>
      <c r="C7" s="107"/>
      <c r="D7" s="110"/>
      <c r="E7" s="110"/>
      <c r="F7" s="110"/>
      <c r="G7" s="110">
        <f t="shared" si="1"/>
        <v>0</v>
      </c>
      <c r="H7" s="28">
        <f>IF(table8[[#This Row],[Net Weight]]&gt;0,IF(A7&lt;31,33-A7,2),2)</f>
        <v>2</v>
      </c>
    </row>
    <row r="8" spans="1:10" s="3" customFormat="1" ht="15" x14ac:dyDescent="0.2">
      <c r="A8" s="107">
        <v>5</v>
      </c>
      <c r="B8" s="89"/>
      <c r="C8" s="89"/>
      <c r="D8" s="90"/>
      <c r="E8" s="90"/>
      <c r="F8" s="90"/>
      <c r="G8" s="90">
        <f t="shared" si="1"/>
        <v>0</v>
      </c>
      <c r="H8" s="28">
        <f>IF(table8[[#This Row],[Net Weight]]&gt;0,IF(A8&lt;31,33-A8,2),2)</f>
        <v>2</v>
      </c>
      <c r="J8" s="27"/>
    </row>
    <row r="9" spans="1:10" s="3" customFormat="1" ht="15" x14ac:dyDescent="0.2">
      <c r="A9" s="107">
        <v>6</v>
      </c>
      <c r="B9" s="107"/>
      <c r="C9" s="107"/>
      <c r="D9" s="110"/>
      <c r="E9" s="110"/>
      <c r="F9" s="110"/>
      <c r="G9" s="110">
        <f t="shared" si="1"/>
        <v>0</v>
      </c>
      <c r="H9" s="28">
        <f>IF(table8[[#This Row],[Net Weight]]&gt;0,IF(A9&lt;31,33-A9,2),2)</f>
        <v>2</v>
      </c>
      <c r="J9" s="27"/>
    </row>
    <row r="10" spans="1:10" s="3" customFormat="1" ht="15" x14ac:dyDescent="0.2">
      <c r="A10" s="107">
        <v>7</v>
      </c>
      <c r="B10" s="89"/>
      <c r="C10" s="89"/>
      <c r="D10" s="90"/>
      <c r="E10" s="90"/>
      <c r="F10" s="90"/>
      <c r="G10" s="90">
        <f t="shared" si="1"/>
        <v>0</v>
      </c>
      <c r="H10" s="28">
        <f>IF(table8[[#This Row],[Net Weight]]&gt;0,IF(A10&lt;31,33-A10,2),2)</f>
        <v>2</v>
      </c>
      <c r="J10" s="27"/>
    </row>
    <row r="11" spans="1:10" s="3" customFormat="1" ht="15" x14ac:dyDescent="0.2">
      <c r="A11" s="107">
        <v>8</v>
      </c>
      <c r="B11" s="107"/>
      <c r="C11" s="107"/>
      <c r="D11" s="110"/>
      <c r="E11" s="110"/>
      <c r="F11" s="110"/>
      <c r="G11" s="110">
        <f t="shared" si="1"/>
        <v>0</v>
      </c>
      <c r="H11" s="28">
        <f>IF(table8[[#This Row],[Net Weight]]&gt;0,IF(A11&lt;31,33-A11,2),2)</f>
        <v>2</v>
      </c>
      <c r="J11" s="27"/>
    </row>
    <row r="12" spans="1:10" s="3" customFormat="1" ht="15" x14ac:dyDescent="0.2">
      <c r="A12" s="107">
        <v>9</v>
      </c>
      <c r="B12" s="89"/>
      <c r="C12" s="89"/>
      <c r="D12" s="90"/>
      <c r="E12" s="90"/>
      <c r="F12" s="90"/>
      <c r="G12" s="90">
        <f t="shared" si="1"/>
        <v>0</v>
      </c>
      <c r="H12" s="28">
        <f>IF(table8[[#This Row],[Net Weight]]&gt;0,IF(A12&lt;31,33-A12,2),2)</f>
        <v>2</v>
      </c>
      <c r="J12" s="27"/>
    </row>
    <row r="13" spans="1:10" s="3" customFormat="1" ht="15" x14ac:dyDescent="0.2">
      <c r="A13" s="107">
        <v>10</v>
      </c>
      <c r="B13" s="107"/>
      <c r="C13" s="107"/>
      <c r="D13" s="110"/>
      <c r="E13" s="110"/>
      <c r="F13" s="110"/>
      <c r="G13" s="110">
        <f t="shared" si="1"/>
        <v>0</v>
      </c>
      <c r="H13" s="28">
        <f>IF(table8[[#This Row],[Net Weight]]&gt;0,IF(A13&lt;31,33-A13,2),2)</f>
        <v>2</v>
      </c>
      <c r="I13" s="14"/>
      <c r="J13" s="27"/>
    </row>
    <row r="14" spans="1:10" s="3" customFormat="1" ht="15" x14ac:dyDescent="0.2">
      <c r="A14" s="107">
        <v>11</v>
      </c>
      <c r="B14" s="89"/>
      <c r="C14" s="89"/>
      <c r="D14" s="90"/>
      <c r="E14" s="90"/>
      <c r="F14" s="90"/>
      <c r="G14" s="90">
        <f t="shared" si="1"/>
        <v>0</v>
      </c>
      <c r="H14" s="28">
        <f>IF(table8[[#This Row],[Net Weight]]&gt;0,IF(A14&lt;31,33-A14,2),2)</f>
        <v>2</v>
      </c>
      <c r="J14" s="27"/>
    </row>
    <row r="15" spans="1:10" s="3" customFormat="1" ht="15" x14ac:dyDescent="0.2">
      <c r="A15" s="107">
        <v>12</v>
      </c>
      <c r="B15" s="107"/>
      <c r="C15" s="107"/>
      <c r="D15" s="110"/>
      <c r="E15" s="110"/>
      <c r="F15" s="110"/>
      <c r="G15" s="110">
        <f t="shared" si="1"/>
        <v>0</v>
      </c>
      <c r="H15" s="28">
        <f>IF(table8[[#This Row],[Net Weight]]&gt;0,IF(A15&lt;31,33-A15,2),2)</f>
        <v>2</v>
      </c>
      <c r="I15" s="14"/>
      <c r="J15" s="27"/>
    </row>
    <row r="16" spans="1:10" s="3" customFormat="1" ht="15" x14ac:dyDescent="0.2">
      <c r="A16" s="107">
        <v>13</v>
      </c>
      <c r="B16" s="89"/>
      <c r="C16" s="89"/>
      <c r="D16" s="90"/>
      <c r="E16" s="90"/>
      <c r="F16" s="90"/>
      <c r="G16" s="90">
        <f t="shared" si="1"/>
        <v>0</v>
      </c>
      <c r="H16" s="28">
        <f>IF(table8[[#This Row],[Net Weight]]&gt;0,IF(A16&lt;31,33-A16,2),2)</f>
        <v>2</v>
      </c>
      <c r="J16" s="27"/>
    </row>
    <row r="17" spans="1:10" s="3" customFormat="1" ht="15" x14ac:dyDescent="0.2">
      <c r="A17" s="107">
        <v>14</v>
      </c>
      <c r="B17" s="107"/>
      <c r="C17" s="107"/>
      <c r="D17" s="110"/>
      <c r="E17" s="110"/>
      <c r="F17" s="110"/>
      <c r="G17" s="110">
        <f t="shared" si="1"/>
        <v>0</v>
      </c>
      <c r="H17" s="28">
        <f>IF(table8[[#This Row],[Net Weight]]&gt;0,IF(A17&lt;31,33-A17,2),2)</f>
        <v>2</v>
      </c>
      <c r="I17" s="14"/>
      <c r="J17" s="27"/>
    </row>
    <row r="18" spans="1:10" s="3" customFormat="1" ht="15" x14ac:dyDescent="0.2">
      <c r="A18" s="107">
        <v>15</v>
      </c>
      <c r="B18" s="89"/>
      <c r="C18" s="89"/>
      <c r="D18" s="90"/>
      <c r="E18" s="90"/>
      <c r="F18" s="90"/>
      <c r="G18" s="90">
        <f t="shared" si="1"/>
        <v>0</v>
      </c>
      <c r="H18" s="28">
        <f>IF(table8[[#This Row],[Net Weight]]&gt;0,IF(A18&lt;31,33-A18,2),2)</f>
        <v>2</v>
      </c>
      <c r="J18" s="27"/>
    </row>
    <row r="19" spans="1:10" s="3" customFormat="1" ht="15" x14ac:dyDescent="0.2">
      <c r="A19" s="107">
        <v>16</v>
      </c>
      <c r="B19" s="107"/>
      <c r="C19" s="107"/>
      <c r="D19" s="110"/>
      <c r="E19" s="110"/>
      <c r="F19" s="110"/>
      <c r="G19" s="110">
        <f t="shared" si="1"/>
        <v>0</v>
      </c>
      <c r="H19" s="28">
        <f>IF(table8[[#This Row],[Net Weight]]&gt;0,IF(A19&lt;31,33-A19,2),2)</f>
        <v>2</v>
      </c>
      <c r="I19" s="14"/>
      <c r="J19" s="27"/>
    </row>
    <row r="20" spans="1:10" s="3" customFormat="1" ht="15" x14ac:dyDescent="0.2">
      <c r="A20" s="107">
        <v>17</v>
      </c>
      <c r="B20" s="89"/>
      <c r="C20" s="89"/>
      <c r="D20" s="90"/>
      <c r="E20" s="90"/>
      <c r="F20" s="90"/>
      <c r="G20" s="90">
        <f t="shared" si="1"/>
        <v>0</v>
      </c>
      <c r="H20" s="28">
        <f>IF(table8[[#This Row],[Net Weight]]&gt;0,IF(A20&lt;31,33-A20,2),2)</f>
        <v>2</v>
      </c>
      <c r="J20" s="27"/>
    </row>
    <row r="21" spans="1:10" s="3" customFormat="1" ht="15" x14ac:dyDescent="0.2">
      <c r="A21" s="107">
        <v>18</v>
      </c>
      <c r="B21" s="107"/>
      <c r="C21" s="107"/>
      <c r="D21" s="110"/>
      <c r="E21" s="110"/>
      <c r="F21" s="110"/>
      <c r="G21" s="110">
        <f t="shared" si="1"/>
        <v>0</v>
      </c>
      <c r="H21" s="28">
        <f>IF(table8[[#This Row],[Net Weight]]&gt;0,IF(A21&lt;31,33-A21,2),2)</f>
        <v>2</v>
      </c>
      <c r="I21" s="14"/>
      <c r="J21" s="27"/>
    </row>
    <row r="22" spans="1:10" s="3" customFormat="1" ht="15" x14ac:dyDescent="0.2">
      <c r="A22" s="107">
        <v>19</v>
      </c>
      <c r="B22" s="89"/>
      <c r="C22" s="89"/>
      <c r="D22" s="90"/>
      <c r="E22" s="90"/>
      <c r="F22" s="90"/>
      <c r="G22" s="90">
        <f t="shared" si="1"/>
        <v>0</v>
      </c>
      <c r="H22" s="28">
        <f>IF(table8[[#This Row],[Net Weight]]&gt;0,IF(A22&lt;31,33-A22,2),2)</f>
        <v>2</v>
      </c>
      <c r="J22" s="27"/>
    </row>
    <row r="23" spans="1:10" s="3" customFormat="1" ht="15" x14ac:dyDescent="0.2">
      <c r="A23" s="107">
        <v>20</v>
      </c>
      <c r="B23" s="107"/>
      <c r="C23" s="107"/>
      <c r="D23" s="110"/>
      <c r="E23" s="110"/>
      <c r="F23" s="110"/>
      <c r="G23" s="110">
        <f t="shared" si="1"/>
        <v>0</v>
      </c>
      <c r="H23" s="28">
        <f>IF(table8[[#This Row],[Net Weight]]&gt;0,IF(A23&lt;31,33-A23,2),2)</f>
        <v>2</v>
      </c>
      <c r="I23" s="14"/>
      <c r="J23" s="27"/>
    </row>
    <row r="24" spans="1:10" s="3" customFormat="1" ht="15" x14ac:dyDescent="0.2">
      <c r="A24" s="107">
        <v>21</v>
      </c>
      <c r="B24" s="89"/>
      <c r="C24" s="89"/>
      <c r="D24" s="90"/>
      <c r="E24" s="90"/>
      <c r="F24" s="90"/>
      <c r="G24" s="90">
        <f t="shared" si="1"/>
        <v>0</v>
      </c>
      <c r="H24" s="28">
        <f>IF(table8[[#This Row],[Net Weight]]&gt;0,IF(A24&lt;31,33-A24,2),2)</f>
        <v>2</v>
      </c>
      <c r="J24" s="27"/>
    </row>
    <row r="25" spans="1:10" s="3" customFormat="1" ht="15" x14ac:dyDescent="0.2">
      <c r="A25" s="107">
        <v>22</v>
      </c>
      <c r="B25" s="107"/>
      <c r="C25" s="107"/>
      <c r="D25" s="110"/>
      <c r="E25" s="110"/>
      <c r="F25" s="110"/>
      <c r="G25" s="110">
        <f t="shared" si="1"/>
        <v>0</v>
      </c>
      <c r="H25" s="28">
        <f>IF(table8[[#This Row],[Net Weight]]&gt;0,IF(A25&lt;31,33-A25,2),2)</f>
        <v>2</v>
      </c>
      <c r="I25" s="14"/>
      <c r="J25" s="27"/>
    </row>
    <row r="26" spans="1:10" s="3" customFormat="1" ht="15" x14ac:dyDescent="0.2">
      <c r="A26" s="107">
        <v>23</v>
      </c>
      <c r="B26" s="89"/>
      <c r="C26" s="89"/>
      <c r="D26" s="90"/>
      <c r="E26" s="90"/>
      <c r="F26" s="90"/>
      <c r="G26" s="90">
        <f t="shared" si="1"/>
        <v>0</v>
      </c>
      <c r="H26" s="28">
        <f>IF(table8[[#This Row],[Net Weight]]&gt;0,IF(A26&lt;31,33-A26,2),2)</f>
        <v>2</v>
      </c>
      <c r="J26" s="27"/>
    </row>
    <row r="27" spans="1:10" s="127" customFormat="1" ht="15" x14ac:dyDescent="0.2">
      <c r="A27" s="107">
        <v>24</v>
      </c>
      <c r="B27" s="107"/>
      <c r="C27" s="107"/>
      <c r="D27" s="110"/>
      <c r="E27" s="110"/>
      <c r="F27" s="110"/>
      <c r="G27" s="110">
        <f t="shared" si="1"/>
        <v>0</v>
      </c>
      <c r="H27" s="28">
        <f>IF(table8[[#This Row],[Net Weight]]&gt;0,IF(A27&lt;31,33-A27,2),2)</f>
        <v>2</v>
      </c>
      <c r="I27" s="125"/>
      <c r="J27" s="126"/>
    </row>
    <row r="28" spans="1:10" s="3" customFormat="1" ht="15" x14ac:dyDescent="0.2">
      <c r="A28" s="107">
        <v>25</v>
      </c>
      <c r="B28" s="89"/>
      <c r="C28" s="89"/>
      <c r="D28" s="90"/>
      <c r="E28" s="90"/>
      <c r="F28" s="90"/>
      <c r="G28" s="90">
        <f t="shared" si="1"/>
        <v>0</v>
      </c>
      <c r="H28" s="28">
        <f>IF(table8[[#This Row],[Net Weight]]&gt;0,IF(A28&lt;31,33-A28,2),2)</f>
        <v>2</v>
      </c>
      <c r="J28" s="27"/>
    </row>
    <row r="29" spans="1:10" s="3" customFormat="1" ht="15" x14ac:dyDescent="0.2">
      <c r="A29" s="107">
        <v>26</v>
      </c>
      <c r="B29" s="107"/>
      <c r="C29" s="107"/>
      <c r="D29" s="110"/>
      <c r="E29" s="110"/>
      <c r="F29" s="110"/>
      <c r="G29" s="110">
        <f t="shared" si="1"/>
        <v>0</v>
      </c>
      <c r="H29" s="28">
        <f>IF(table8[[#This Row],[Net Weight]]&gt;0,IF(A29&lt;31,33-A29,2),2)</f>
        <v>2</v>
      </c>
      <c r="I29" s="14"/>
      <c r="J29" s="27"/>
    </row>
    <row r="30" spans="1:10" s="3" customFormat="1" ht="15" x14ac:dyDescent="0.2">
      <c r="A30" s="107">
        <v>27</v>
      </c>
      <c r="B30" s="89"/>
      <c r="C30" s="89"/>
      <c r="D30" s="90"/>
      <c r="E30" s="90"/>
      <c r="F30" s="90"/>
      <c r="G30" s="90">
        <f t="shared" si="1"/>
        <v>0</v>
      </c>
      <c r="H30" s="28">
        <f>IF(table8[[#This Row],[Net Weight]]&gt;0,IF(A30&lt;31,33-A30,2),2)</f>
        <v>2</v>
      </c>
      <c r="J30" s="27"/>
    </row>
    <row r="31" spans="1:10" s="3" customFormat="1" ht="15" x14ac:dyDescent="0.2">
      <c r="A31" s="107">
        <v>28</v>
      </c>
      <c r="B31" s="107"/>
      <c r="C31" s="107"/>
      <c r="D31" s="110"/>
      <c r="E31" s="110"/>
      <c r="F31" s="110"/>
      <c r="G31" s="110">
        <f t="shared" si="1"/>
        <v>0</v>
      </c>
      <c r="H31" s="28">
        <f>IF(table8[[#This Row],[Net Weight]]&gt;0,IF(A31&lt;31,33-A31,2),2)</f>
        <v>2</v>
      </c>
      <c r="I31" s="14"/>
      <c r="J31" s="27"/>
    </row>
    <row r="32" spans="1:10" s="3" customFormat="1" ht="15" x14ac:dyDescent="0.2">
      <c r="A32" s="107">
        <v>29</v>
      </c>
      <c r="B32" s="107"/>
      <c r="C32" s="107"/>
      <c r="D32" s="110"/>
      <c r="E32" s="110"/>
      <c r="F32" s="110"/>
      <c r="G32" s="110">
        <f t="shared" si="1"/>
        <v>0</v>
      </c>
      <c r="H32" s="28">
        <f>IF(table8[[#This Row],[Net Weight]]&gt;0,IF(A32&lt;31,33-A32,2),2)</f>
        <v>2</v>
      </c>
      <c r="J32" s="27"/>
    </row>
    <row r="33" spans="1:10" s="3" customFormat="1" ht="15" x14ac:dyDescent="0.2">
      <c r="A33" s="107">
        <v>30</v>
      </c>
      <c r="B33" s="107"/>
      <c r="C33" s="107"/>
      <c r="D33" s="110"/>
      <c r="E33" s="110"/>
      <c r="F33" s="110"/>
      <c r="G33" s="110">
        <f t="shared" si="1"/>
        <v>0</v>
      </c>
      <c r="H33" s="28">
        <f>IF(table8[[#This Row],[Net Weight]]&gt;0,IF(A33&lt;31,33-A33,2),2)</f>
        <v>2</v>
      </c>
      <c r="I33" s="14"/>
      <c r="J33" s="27"/>
    </row>
    <row r="34" spans="1:10" s="3" customFormat="1" ht="15" x14ac:dyDescent="0.2">
      <c r="A34" s="107">
        <v>31</v>
      </c>
      <c r="B34" s="107"/>
      <c r="C34" s="107"/>
      <c r="D34" s="110"/>
      <c r="E34" s="110"/>
      <c r="F34" s="110"/>
      <c r="G34" s="110">
        <f t="shared" si="1"/>
        <v>0</v>
      </c>
      <c r="H34" s="28">
        <f>IF(table8[[#This Row],[Net Weight]]&gt;0,IF(A34&lt;31,33-A34,2),2)</f>
        <v>2</v>
      </c>
      <c r="J34" s="27"/>
    </row>
    <row r="35" spans="1:10" s="3" customFormat="1" ht="15" x14ac:dyDescent="0.2">
      <c r="A35" s="107">
        <v>32</v>
      </c>
      <c r="B35" s="134"/>
      <c r="C35" s="134"/>
      <c r="D35" s="135"/>
      <c r="E35" s="135"/>
      <c r="F35" s="135"/>
      <c r="G35" s="135">
        <f t="shared" ref="G35:G53" si="2">E35-F35</f>
        <v>0</v>
      </c>
      <c r="H35" s="28">
        <f>IF(table8[[#This Row],[Net Weight]]&gt;0,IF(A35&lt;31,33-A35,2),2)</f>
        <v>2</v>
      </c>
      <c r="J35" s="27"/>
    </row>
    <row r="36" spans="1:10" s="3" customFormat="1" ht="15" x14ac:dyDescent="0.2">
      <c r="A36" s="107">
        <v>33</v>
      </c>
      <c r="B36" s="144"/>
      <c r="C36" s="144"/>
      <c r="D36" s="145"/>
      <c r="E36" s="145"/>
      <c r="F36" s="145"/>
      <c r="G36" s="145">
        <f t="shared" si="2"/>
        <v>0</v>
      </c>
      <c r="H36" s="28">
        <f>IF(table8[[#This Row],[Net Weight]]&gt;0,IF(A36&lt;31,33-A36,2),2)</f>
        <v>2</v>
      </c>
      <c r="J36" s="27"/>
    </row>
    <row r="37" spans="1:10" s="3" customFormat="1" ht="15" x14ac:dyDescent="0.2">
      <c r="A37" s="107">
        <v>34</v>
      </c>
      <c r="B37" s="144"/>
      <c r="C37" s="144"/>
      <c r="D37" s="145"/>
      <c r="E37" s="145"/>
      <c r="F37" s="145"/>
      <c r="G37" s="145">
        <f t="shared" si="2"/>
        <v>0</v>
      </c>
      <c r="H37" s="28">
        <f>IF(table8[[#This Row],[Net Weight]]&gt;0,IF(A37&lt;31,33-A37,2),2)</f>
        <v>2</v>
      </c>
      <c r="J37" s="27"/>
    </row>
    <row r="38" spans="1:10" s="3" customFormat="1" ht="15" x14ac:dyDescent="0.2">
      <c r="A38" s="107">
        <v>35</v>
      </c>
      <c r="B38" s="144"/>
      <c r="C38" s="144"/>
      <c r="D38" s="145"/>
      <c r="E38" s="145"/>
      <c r="F38" s="145"/>
      <c r="G38" s="145">
        <f t="shared" si="2"/>
        <v>0</v>
      </c>
      <c r="H38" s="28">
        <f>IF(table8[[#This Row],[Net Weight]]&gt;0,IF(A38&lt;31,33-A38,2),2)</f>
        <v>2</v>
      </c>
      <c r="J38" s="27"/>
    </row>
    <row r="39" spans="1:10" s="3" customFormat="1" ht="15" x14ac:dyDescent="0.2">
      <c r="A39" s="107">
        <v>36</v>
      </c>
      <c r="B39" s="144"/>
      <c r="C39" s="144"/>
      <c r="D39" s="145"/>
      <c r="E39" s="145"/>
      <c r="F39" s="145"/>
      <c r="G39" s="145">
        <f t="shared" si="2"/>
        <v>0</v>
      </c>
      <c r="H39" s="28">
        <f>IF(table8[[#This Row],[Net Weight]]&gt;0,IF(A39&lt;31,33-A39,2),2)</f>
        <v>2</v>
      </c>
      <c r="J39" s="27"/>
    </row>
    <row r="40" spans="1:10" s="3" customFormat="1" ht="15" x14ac:dyDescent="0.2">
      <c r="A40" s="107">
        <v>37</v>
      </c>
      <c r="B40" s="144"/>
      <c r="C40" s="144"/>
      <c r="D40" s="145"/>
      <c r="E40" s="145"/>
      <c r="F40" s="145"/>
      <c r="G40" s="145">
        <f t="shared" si="2"/>
        <v>0</v>
      </c>
      <c r="H40" s="28">
        <f>IF(table8[[#This Row],[Net Weight]]&gt;0,IF(A40&lt;31,33-A40,2),2)</f>
        <v>2</v>
      </c>
      <c r="J40" s="27"/>
    </row>
    <row r="41" spans="1:10" s="3" customFormat="1" ht="15" x14ac:dyDescent="0.2">
      <c r="A41" s="107">
        <v>38</v>
      </c>
      <c r="B41" s="144"/>
      <c r="C41" s="144"/>
      <c r="D41" s="145"/>
      <c r="E41" s="145"/>
      <c r="F41" s="145"/>
      <c r="G41" s="145">
        <f t="shared" si="2"/>
        <v>0</v>
      </c>
      <c r="H41" s="28">
        <f>IF(table8[[#This Row],[Net Weight]]&gt;0,IF(A41&lt;31,33-A41,2),2)</f>
        <v>2</v>
      </c>
      <c r="J41" s="27"/>
    </row>
    <row r="42" spans="1:10" s="3" customFormat="1" ht="15" x14ac:dyDescent="0.2">
      <c r="A42" s="107">
        <v>39</v>
      </c>
      <c r="B42" s="144"/>
      <c r="C42" s="144"/>
      <c r="D42" s="145"/>
      <c r="E42" s="145"/>
      <c r="F42" s="145"/>
      <c r="G42" s="145">
        <f t="shared" si="2"/>
        <v>0</v>
      </c>
      <c r="H42" s="28">
        <f>IF(table8[[#This Row],[Net Weight]]&gt;0,IF(A42&lt;31,33-A42,2),2)</f>
        <v>2</v>
      </c>
      <c r="J42" s="27"/>
    </row>
    <row r="43" spans="1:10" s="3" customFormat="1" ht="15" x14ac:dyDescent="0.2">
      <c r="A43" s="107">
        <v>40</v>
      </c>
      <c r="B43" s="144"/>
      <c r="C43" s="144"/>
      <c r="D43" s="145"/>
      <c r="E43" s="145"/>
      <c r="F43" s="145"/>
      <c r="G43" s="145">
        <f t="shared" si="2"/>
        <v>0</v>
      </c>
      <c r="H43" s="28">
        <f>IF(table8[[#This Row],[Net Weight]]&gt;0,IF(A43&lt;31,33-A43,2),2)</f>
        <v>2</v>
      </c>
      <c r="J43" s="27"/>
    </row>
    <row r="44" spans="1:10" s="3" customFormat="1" ht="15" x14ac:dyDescent="0.2">
      <c r="A44" s="107">
        <v>41</v>
      </c>
      <c r="B44" s="144"/>
      <c r="C44" s="144"/>
      <c r="D44" s="145"/>
      <c r="E44" s="145"/>
      <c r="F44" s="145"/>
      <c r="G44" s="145">
        <f t="shared" si="2"/>
        <v>0</v>
      </c>
      <c r="H44" s="28">
        <f>IF(table8[[#This Row],[Net Weight]]&gt;0,IF(A44&lt;31,33-A44,2),2)</f>
        <v>2</v>
      </c>
      <c r="J44" s="27"/>
    </row>
    <row r="45" spans="1:10" s="3" customFormat="1" ht="15" x14ac:dyDescent="0.2">
      <c r="A45" s="107">
        <v>42</v>
      </c>
      <c r="B45" s="144"/>
      <c r="C45" s="144"/>
      <c r="D45" s="145"/>
      <c r="E45" s="145"/>
      <c r="F45" s="145"/>
      <c r="G45" s="145">
        <f t="shared" si="2"/>
        <v>0</v>
      </c>
      <c r="H45" s="28">
        <f>IF(table8[[#This Row],[Net Weight]]&gt;0,IF(A45&lt;31,33-A45,2),2)</f>
        <v>2</v>
      </c>
      <c r="J45" s="27"/>
    </row>
    <row r="46" spans="1:10" s="3" customFormat="1" ht="15" x14ac:dyDescent="0.2">
      <c r="A46" s="107">
        <v>43</v>
      </c>
      <c r="B46" s="144"/>
      <c r="C46" s="144"/>
      <c r="D46" s="145"/>
      <c r="E46" s="145"/>
      <c r="F46" s="145"/>
      <c r="G46" s="145">
        <f t="shared" si="2"/>
        <v>0</v>
      </c>
      <c r="H46" s="28">
        <f>IF(table8[[#This Row],[Net Weight]]&gt;0,IF(A46&lt;31,33-A46,2),2)</f>
        <v>2</v>
      </c>
      <c r="J46" s="27"/>
    </row>
    <row r="47" spans="1:10" s="3" customFormat="1" ht="15" x14ac:dyDescent="0.2">
      <c r="A47" s="107">
        <v>44</v>
      </c>
      <c r="B47" s="144"/>
      <c r="C47" s="144"/>
      <c r="D47" s="145"/>
      <c r="E47" s="145"/>
      <c r="F47" s="145"/>
      <c r="G47" s="145">
        <f t="shared" si="2"/>
        <v>0</v>
      </c>
      <c r="H47" s="28">
        <f>IF(table8[[#This Row],[Net Weight]]&gt;0,IF(A47&lt;31,33-A47,2),2)</f>
        <v>2</v>
      </c>
      <c r="J47" s="27"/>
    </row>
    <row r="48" spans="1:10" s="3" customFormat="1" ht="15" x14ac:dyDescent="0.2">
      <c r="A48" s="107">
        <v>45</v>
      </c>
      <c r="B48" s="144"/>
      <c r="C48" s="144"/>
      <c r="D48" s="145"/>
      <c r="E48" s="145"/>
      <c r="F48" s="145"/>
      <c r="G48" s="145">
        <f t="shared" si="2"/>
        <v>0</v>
      </c>
      <c r="H48" s="28">
        <f>IF(table8[[#This Row],[Net Weight]]&gt;0,IF(A48&lt;31,33-A48,2),2)</f>
        <v>2</v>
      </c>
      <c r="J48" s="27"/>
    </row>
    <row r="49" spans="1:10" s="3" customFormat="1" ht="15" x14ac:dyDescent="0.2">
      <c r="A49" s="107">
        <v>46</v>
      </c>
      <c r="B49" s="144"/>
      <c r="C49" s="144"/>
      <c r="D49" s="145"/>
      <c r="E49" s="145"/>
      <c r="F49" s="145"/>
      <c r="G49" s="145">
        <f t="shared" si="2"/>
        <v>0</v>
      </c>
      <c r="H49" s="28">
        <f>IF(table8[[#This Row],[Net Weight]]&gt;0,IF(A49&lt;31,33-A49,2),2)</f>
        <v>2</v>
      </c>
      <c r="J49" s="27"/>
    </row>
    <row r="50" spans="1:10" s="3" customFormat="1" ht="15" x14ac:dyDescent="0.2">
      <c r="A50" s="107">
        <v>47</v>
      </c>
      <c r="B50" s="144"/>
      <c r="C50" s="144"/>
      <c r="D50" s="145"/>
      <c r="E50" s="145"/>
      <c r="F50" s="145"/>
      <c r="G50" s="145">
        <f t="shared" si="2"/>
        <v>0</v>
      </c>
      <c r="H50" s="28">
        <f>IF(table8[[#This Row],[Net Weight]]&gt;0,IF(A50&lt;31,33-A50,2),2)</f>
        <v>2</v>
      </c>
      <c r="J50" s="27"/>
    </row>
    <row r="51" spans="1:10" s="3" customFormat="1" ht="15" x14ac:dyDescent="0.2">
      <c r="A51" s="107">
        <v>48</v>
      </c>
      <c r="B51" s="144"/>
      <c r="C51" s="144"/>
      <c r="D51" s="145"/>
      <c r="E51" s="145"/>
      <c r="F51" s="145"/>
      <c r="G51" s="145">
        <f t="shared" si="2"/>
        <v>0</v>
      </c>
      <c r="H51" s="28">
        <f>IF(table8[[#This Row],[Net Weight]]&gt;0,IF(A51&lt;31,33-A51,2),2)</f>
        <v>2</v>
      </c>
      <c r="J51" s="27"/>
    </row>
    <row r="52" spans="1:10" s="3" customFormat="1" ht="15" x14ac:dyDescent="0.2">
      <c r="A52" s="107">
        <v>49</v>
      </c>
      <c r="B52" s="144"/>
      <c r="C52" s="144"/>
      <c r="D52" s="145"/>
      <c r="E52" s="145"/>
      <c r="F52" s="145"/>
      <c r="G52" s="145">
        <f t="shared" si="2"/>
        <v>0</v>
      </c>
      <c r="H52" s="28">
        <f>IF(table8[[#This Row],[Net Weight]]&gt;0,IF(A52&lt;31,33-A52,2),2)</f>
        <v>2</v>
      </c>
      <c r="J52" s="27"/>
    </row>
    <row r="53" spans="1:10" s="3" customFormat="1" ht="15" x14ac:dyDescent="0.2">
      <c r="A53" s="107">
        <v>50</v>
      </c>
      <c r="B53" s="144"/>
      <c r="C53" s="144"/>
      <c r="D53" s="145"/>
      <c r="E53" s="145"/>
      <c r="F53" s="145"/>
      <c r="G53" s="145">
        <f t="shared" si="2"/>
        <v>0</v>
      </c>
      <c r="H53" s="28">
        <f>IF(table8[[#This Row],[Net Weight]]&gt;0,IF(A53&lt;31,33-A53,2),2)</f>
        <v>2</v>
      </c>
      <c r="J53" s="27"/>
    </row>
    <row r="54" spans="1:10" ht="15.75" customHeight="1" x14ac:dyDescent="0.2">
      <c r="A54" s="108"/>
      <c r="B54" s="108"/>
      <c r="C54" s="108"/>
      <c r="D54" s="109"/>
      <c r="E54" s="109"/>
      <c r="F54" s="109"/>
      <c r="G54" s="109"/>
      <c r="H54" s="108"/>
    </row>
    <row r="55" spans="1:10" ht="15.75" customHeight="1" x14ac:dyDescent="0.2">
      <c r="A55" s="28"/>
      <c r="B55" s="28"/>
      <c r="C55" s="28"/>
      <c r="D55" s="28"/>
      <c r="E55" s="29"/>
      <c r="F55" s="29"/>
      <c r="G55" s="29"/>
      <c r="H55" s="28"/>
    </row>
    <row r="56" spans="1:10" ht="15.75" customHeight="1" x14ac:dyDescent="0.2">
      <c r="A56" s="160" t="s">
        <v>88</v>
      </c>
      <c r="B56" s="160"/>
      <c r="C56" s="40">
        <f>COUNT(table8[Number of Fish])</f>
        <v>0</v>
      </c>
      <c r="D56" s="40"/>
      <c r="E56" s="40"/>
      <c r="F56" s="41"/>
      <c r="G56" s="41"/>
      <c r="H56" s="49"/>
    </row>
    <row r="57" spans="1:10" ht="15.75" customHeight="1" x14ac:dyDescent="0.2">
      <c r="A57" s="160" t="s">
        <v>89</v>
      </c>
      <c r="B57" s="160"/>
      <c r="C57" s="40">
        <f>SUM(table8[Number of Fish])</f>
        <v>0</v>
      </c>
      <c r="D57" s="40"/>
      <c r="E57" s="40"/>
      <c r="F57" s="41"/>
      <c r="G57" s="41"/>
      <c r="H57" s="49"/>
    </row>
    <row r="58" spans="1:10" ht="15.75" customHeight="1" x14ac:dyDescent="0.2">
      <c r="A58" s="160" t="s">
        <v>90</v>
      </c>
      <c r="B58" s="160"/>
      <c r="C58" s="41">
        <f>SUM(table8[Total Weight])</f>
        <v>0</v>
      </c>
      <c r="D58" s="40"/>
      <c r="E58" s="41"/>
      <c r="F58" s="41"/>
      <c r="G58" s="41"/>
      <c r="H58" s="48"/>
    </row>
    <row r="59" spans="1:10" ht="15.75" customHeight="1" x14ac:dyDescent="0.2">
      <c r="A59" s="160" t="s">
        <v>91</v>
      </c>
      <c r="B59" s="160"/>
      <c r="C59" s="41" t="e">
        <f>C58/C57</f>
        <v>#DIV/0!</v>
      </c>
      <c r="D59" s="40"/>
      <c r="E59" s="50"/>
      <c r="F59" s="41"/>
      <c r="G59" s="41"/>
      <c r="H59" s="48"/>
    </row>
    <row r="60" spans="1:10" ht="15.75" customHeight="1" x14ac:dyDescent="0.2">
      <c r="A60" s="160" t="s">
        <v>92</v>
      </c>
      <c r="B60" s="160"/>
      <c r="C60" s="40" t="e">
        <f>C57/C56</f>
        <v>#DIV/0!</v>
      </c>
      <c r="D60" s="40"/>
      <c r="E60" s="41"/>
      <c r="F60" s="41"/>
      <c r="G60" s="41"/>
      <c r="H60" s="48"/>
    </row>
    <row r="61" spans="1:10" ht="15.75" customHeight="1" x14ac:dyDescent="0.25"/>
    <row r="62" spans="1:10" ht="15.75" customHeight="1" x14ac:dyDescent="0.25"/>
  </sheetData>
  <mergeCells count="7">
    <mergeCell ref="A59:B59"/>
    <mergeCell ref="A60:B60"/>
    <mergeCell ref="A1:H1"/>
    <mergeCell ref="A2:H2"/>
    <mergeCell ref="A56:B56"/>
    <mergeCell ref="A57:B57"/>
    <mergeCell ref="A58:B58"/>
  </mergeCells>
  <phoneticPr fontId="0" type="noConversion"/>
  <conditionalFormatting sqref="B4">
    <cfRule type="duplicateValues" dxfId="9" priority="1"/>
  </conditionalFormatting>
  <printOptions horizontalCentered="1"/>
  <pageMargins left="0.25" right="0.25" top="1" bottom="0.5" header="0" footer="0"/>
  <pageSetup scale="97" fitToWidth="0" orientation="landscape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NameVal!$A:$A</xm:f>
          </x14:formula1>
          <xm:sqref>B4:B53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13</vt:i4>
      </vt:variant>
    </vt:vector>
  </HeadingPairs>
  <TitlesOfParts>
    <vt:vector size="32" baseType="lpstr">
      <vt:lpstr>El Cap Fun</vt:lpstr>
      <vt:lpstr>Otay 1</vt:lpstr>
      <vt:lpstr>Otay 2</vt:lpstr>
      <vt:lpstr>San V Night</vt:lpstr>
      <vt:lpstr>Otay N</vt:lpstr>
      <vt:lpstr>Lake Hodges</vt:lpstr>
      <vt:lpstr>El Cap</vt:lpstr>
      <vt:lpstr>LCR</vt:lpstr>
      <vt:lpstr>El Cap 2</vt:lpstr>
      <vt:lpstr>Otay 3</vt:lpstr>
      <vt:lpstr>Otay 4</vt:lpstr>
      <vt:lpstr>TOC</vt:lpstr>
      <vt:lpstr>YTD</vt:lpstr>
      <vt:lpstr>Names</vt:lpstr>
      <vt:lpstr>Sheet1</vt:lpstr>
      <vt:lpstr>Big Fish</vt:lpstr>
      <vt:lpstr>NameVal</vt:lpstr>
      <vt:lpstr>Single Day Template</vt:lpstr>
      <vt:lpstr>Two Day Template</vt:lpstr>
      <vt:lpstr>'El Cap 2'!Print_Area</vt:lpstr>
      <vt:lpstr>'El Cap Fun'!Print_Area</vt:lpstr>
      <vt:lpstr>'Lake Hodges'!Print_Area</vt:lpstr>
      <vt:lpstr>LCR!Print_Area</vt:lpstr>
      <vt:lpstr>'Otay 1'!Print_Area</vt:lpstr>
      <vt:lpstr>'Otay 2'!Print_Area</vt:lpstr>
      <vt:lpstr>'Otay 3'!Print_Area</vt:lpstr>
      <vt:lpstr>'Otay 4'!Print_Area</vt:lpstr>
      <vt:lpstr>'Otay N'!Print_Area</vt:lpstr>
      <vt:lpstr>'San V Night'!Print_Area</vt:lpstr>
      <vt:lpstr>'Single Day Template'!Print_Area</vt:lpstr>
      <vt:lpstr>'Two Day Template'!Print_Area</vt:lpstr>
      <vt:lpstr>YTD!Print_Area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Carpenter</dc:creator>
  <cp:lastModifiedBy>Jeff Carpenter</cp:lastModifiedBy>
  <cp:lastPrinted>2020-08-29T22:49:22Z</cp:lastPrinted>
  <dcterms:created xsi:type="dcterms:W3CDTF">2001-12-11T06:55:26Z</dcterms:created>
  <dcterms:modified xsi:type="dcterms:W3CDTF">2020-09-02T02:52:32Z</dcterms:modified>
</cp:coreProperties>
</file>