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xWindow="-120" yWindow="-120" windowWidth="20730" windowHeight="11160" tabRatio="882" activeTab="11"/>
  </bookViews>
  <sheets>
    <sheet name="Otay 1" sheetId="1" r:id="rId1"/>
    <sheet name="Lake Mohave" sheetId="31" r:id="rId2"/>
    <sheet name="Otay 2" sheetId="9" r:id="rId3"/>
    <sheet name="Havasu" sheetId="27" r:id="rId4"/>
    <sheet name="El Cap (6 hour)" sheetId="10" r:id="rId5"/>
    <sheet name="San V Night" sheetId="11" r:id="rId6"/>
    <sheet name="El Cap Night" sheetId="24" r:id="rId7"/>
    <sheet name="El Cap (6 hour) 2" sheetId="12" r:id="rId8"/>
    <sheet name="LCR" sheetId="28" r:id="rId9"/>
    <sheet name="San V" sheetId="8" r:id="rId10"/>
    <sheet name="TOC" sheetId="20" r:id="rId11"/>
    <sheet name="YTD" sheetId="5" r:id="rId12"/>
    <sheet name="Names" sheetId="6" state="hidden" r:id="rId13"/>
    <sheet name="Sheet1" sheetId="22" state="hidden" r:id="rId14"/>
    <sheet name="NameVal" sheetId="29" r:id="rId15"/>
    <sheet name="Big Fish" sheetId="23" r:id="rId16"/>
    <sheet name="Single Day Template" sheetId="26" r:id="rId17"/>
    <sheet name="Two Day Template" sheetId="32" r:id="rId18"/>
  </sheets>
  <definedNames>
    <definedName name="_xlnm._FilterDatabase" localSheetId="3" hidden="1">Havasu!$A$2:$P$4</definedName>
    <definedName name="_xlnm._FilterDatabase" localSheetId="1" hidden="1">'Lake Mohave'!$A$2:$P$4</definedName>
    <definedName name="_xlnm._FilterDatabase" localSheetId="8" hidden="1">LCR!$A$2:$P$4</definedName>
    <definedName name="_xlnm._FilterDatabase" localSheetId="17" hidden="1">'Two Day Template'!$A$2:$P$4</definedName>
    <definedName name="_xlnm.Print_Area" localSheetId="4">'El Cap (6 hour)'!$A$1:$H$47</definedName>
    <definedName name="_xlnm.Print_Area" localSheetId="6">'El Cap Night'!$A$1:$H$39</definedName>
    <definedName name="_xlnm.Print_Area" localSheetId="3">Havasu!$A$1:$P$38</definedName>
    <definedName name="_xlnm.Print_Area" localSheetId="1">'Lake Mohave'!$A$1:$P$60</definedName>
    <definedName name="_xlnm.Print_Area" localSheetId="8">LCR!$A$1:$P$32</definedName>
    <definedName name="_xlnm.Print_Area" localSheetId="12">Names!#REF!</definedName>
    <definedName name="_xlnm.Print_Area" localSheetId="0">'Otay 1'!$A$1:$H$44</definedName>
    <definedName name="_xlnm.Print_Area" localSheetId="2">'Otay 2'!$A$1:$H$43</definedName>
    <definedName name="_xlnm.Print_Area" localSheetId="9">'San V'!$A$1:$H$24</definedName>
    <definedName name="_xlnm.Print_Area" localSheetId="5">'San V Night'!$A$1:$H$37</definedName>
    <definedName name="_xlnm.Print_Area" localSheetId="16">'Single Day Template'!$A$1:$H$60</definedName>
    <definedName name="_xlnm.Print_Area" localSheetId="17">'Two Day Template'!$A$1:$P$60</definedName>
    <definedName name="_xlnm.Print_Area" localSheetId="11">YTD!$A$1:$N$90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" i="8" l="1"/>
  <c r="L76" i="5" l="1"/>
  <c r="L77" i="5"/>
  <c r="L78" i="5"/>
  <c r="L79" i="5"/>
  <c r="L75" i="5"/>
  <c r="C27" i="8"/>
  <c r="M75" i="5" s="1"/>
  <c r="L14" i="5" l="1"/>
  <c r="L20" i="5"/>
  <c r="L27" i="5"/>
  <c r="L29" i="5"/>
  <c r="L26" i="5"/>
  <c r="L28" i="5"/>
  <c r="L31" i="5"/>
  <c r="L33" i="5"/>
  <c r="L30" i="5"/>
  <c r="L32" i="5"/>
  <c r="L34" i="5"/>
  <c r="L35" i="5"/>
  <c r="L36" i="5"/>
  <c r="L37" i="5"/>
  <c r="L38" i="5"/>
  <c r="L39" i="5"/>
  <c r="L41" i="5"/>
  <c r="L42" i="5"/>
  <c r="L44" i="5"/>
  <c r="L43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K76" i="5" l="1"/>
  <c r="K77" i="5"/>
  <c r="K78" i="5"/>
  <c r="K79" i="5"/>
  <c r="K75" i="5"/>
  <c r="J77" i="5" l="1"/>
  <c r="J4" i="5"/>
  <c r="J6" i="5"/>
  <c r="J5" i="5"/>
  <c r="J7" i="5"/>
  <c r="J14" i="5"/>
  <c r="J8" i="5"/>
  <c r="J9" i="5"/>
  <c r="J11" i="5"/>
  <c r="J12" i="5"/>
  <c r="J10" i="5"/>
  <c r="J17" i="5"/>
  <c r="J16" i="5"/>
  <c r="J13" i="5"/>
  <c r="J20" i="5"/>
  <c r="J19" i="5"/>
  <c r="J18" i="5"/>
  <c r="J15" i="5"/>
  <c r="J29" i="5"/>
  <c r="J22" i="5"/>
  <c r="J21" i="5"/>
  <c r="J24" i="5"/>
  <c r="J31" i="5"/>
  <c r="J27" i="5"/>
  <c r="J30" i="5"/>
  <c r="J32" i="5"/>
  <c r="J28" i="5"/>
  <c r="J34" i="5"/>
  <c r="J23" i="5"/>
  <c r="J35" i="5"/>
  <c r="J26" i="5"/>
  <c r="J25" i="5"/>
  <c r="J36" i="5"/>
  <c r="J37" i="5"/>
  <c r="J38" i="5"/>
  <c r="J33" i="5"/>
  <c r="J39" i="5"/>
  <c r="J44" i="5"/>
  <c r="J41" i="5"/>
  <c r="J40" i="5"/>
  <c r="J42" i="5"/>
  <c r="J43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H2" i="23"/>
  <c r="H3" i="23"/>
  <c r="H4" i="23"/>
  <c r="H6" i="23"/>
  <c r="H7" i="23"/>
  <c r="H10" i="23"/>
  <c r="H11" i="23"/>
  <c r="H12" i="23"/>
  <c r="H14" i="23"/>
  <c r="H15" i="23"/>
  <c r="H5" i="23"/>
  <c r="H16" i="23"/>
  <c r="H17" i="23"/>
  <c r="H19" i="23"/>
  <c r="H20" i="23"/>
  <c r="H9" i="23"/>
  <c r="H22" i="23"/>
  <c r="H23" i="23"/>
  <c r="H24" i="23"/>
  <c r="H25" i="23"/>
  <c r="H26" i="23"/>
  <c r="H13" i="23"/>
  <c r="H27" i="23"/>
  <c r="H28" i="23"/>
  <c r="H29" i="23"/>
  <c r="H30" i="23"/>
  <c r="H18" i="23"/>
  <c r="H8" i="23"/>
  <c r="H31" i="23"/>
  <c r="H32" i="23"/>
  <c r="H34" i="23"/>
  <c r="H35" i="23"/>
  <c r="H36" i="23"/>
  <c r="H21" i="23"/>
  <c r="H37" i="23"/>
  <c r="H38" i="23"/>
  <c r="H39" i="23"/>
  <c r="H41" i="23"/>
  <c r="H40" i="23"/>
  <c r="H33" i="23"/>
  <c r="H42" i="23"/>
  <c r="H43" i="23"/>
  <c r="H44" i="23"/>
  <c r="H45" i="23"/>
  <c r="H46" i="23"/>
  <c r="H47" i="23"/>
  <c r="H48" i="23"/>
  <c r="H49" i="23"/>
  <c r="H50" i="23"/>
  <c r="H51" i="23"/>
  <c r="H52" i="23"/>
  <c r="H53" i="23"/>
  <c r="H54" i="23"/>
  <c r="H55" i="23"/>
  <c r="H56" i="23"/>
  <c r="H57" i="23"/>
  <c r="H58" i="23"/>
  <c r="H59" i="23"/>
  <c r="H60" i="23"/>
  <c r="H61" i="23"/>
  <c r="H62" i="23"/>
  <c r="H63" i="23"/>
  <c r="H64" i="23"/>
  <c r="H65" i="23"/>
  <c r="H66" i="23"/>
  <c r="H67" i="23"/>
  <c r="H68" i="23"/>
  <c r="H69" i="23"/>
  <c r="H70" i="23"/>
  <c r="H71" i="23"/>
  <c r="H72" i="23"/>
  <c r="H73" i="23"/>
  <c r="H74" i="23"/>
  <c r="H75" i="23"/>
  <c r="H76" i="23"/>
  <c r="H77" i="23"/>
  <c r="I76" i="5" l="1"/>
  <c r="I77" i="5"/>
  <c r="I78" i="5"/>
  <c r="I79" i="5"/>
  <c r="I75" i="5"/>
  <c r="H76" i="5"/>
  <c r="H77" i="5"/>
  <c r="H78" i="5"/>
  <c r="H79" i="5"/>
  <c r="H75" i="5"/>
  <c r="G75" i="5"/>
  <c r="F12" i="23" l="1"/>
  <c r="G4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76" i="5" l="1"/>
  <c r="G77" i="5"/>
  <c r="G78" i="5"/>
  <c r="G79" i="5"/>
  <c r="E7" i="23"/>
  <c r="E4" i="23"/>
  <c r="E3" i="23"/>
  <c r="E5" i="23"/>
  <c r="E16" i="23"/>
  <c r="E17" i="23"/>
  <c r="E11" i="23"/>
  <c r="E19" i="23"/>
  <c r="E2" i="23"/>
  <c r="E20" i="23"/>
  <c r="E22" i="23"/>
  <c r="E24" i="23"/>
  <c r="E26" i="23"/>
  <c r="E13" i="23"/>
  <c r="E28" i="23"/>
  <c r="E10" i="23"/>
  <c r="E18" i="23"/>
  <c r="E8" i="23"/>
  <c r="E31" i="23"/>
  <c r="E30" i="23"/>
  <c r="E32" i="23"/>
  <c r="E14" i="23"/>
  <c r="E36" i="23"/>
  <c r="E9" i="23"/>
  <c r="E27" i="23"/>
  <c r="E15" i="23"/>
  <c r="E37" i="23"/>
  <c r="E38" i="23"/>
  <c r="E23" i="23"/>
  <c r="E6" i="23"/>
  <c r="E39" i="23"/>
  <c r="E41" i="23"/>
  <c r="E25" i="23"/>
  <c r="E34" i="23"/>
  <c r="E33" i="23"/>
  <c r="E40" i="23"/>
  <c r="E21" i="23"/>
  <c r="E42" i="23"/>
  <c r="E29" i="23"/>
  <c r="E35" i="23"/>
  <c r="E43" i="23"/>
  <c r="E44" i="23"/>
  <c r="E45" i="23"/>
  <c r="E46" i="23"/>
  <c r="E47" i="23"/>
  <c r="E48" i="23"/>
  <c r="E49" i="23"/>
  <c r="E50" i="23"/>
  <c r="E12" i="23"/>
  <c r="E51" i="23"/>
  <c r="E52" i="23"/>
  <c r="E53" i="23"/>
  <c r="E54" i="23"/>
  <c r="E55" i="23"/>
  <c r="E56" i="23"/>
  <c r="E57" i="23"/>
  <c r="E58" i="23"/>
  <c r="E59" i="23"/>
  <c r="E60" i="23"/>
  <c r="E61" i="23"/>
  <c r="E62" i="23"/>
  <c r="E63" i="23"/>
  <c r="E64" i="23"/>
  <c r="E65" i="23"/>
  <c r="E66" i="23"/>
  <c r="E67" i="23"/>
  <c r="E68" i="23"/>
  <c r="E69" i="23"/>
  <c r="E70" i="23"/>
  <c r="E71" i="23"/>
  <c r="E72" i="23"/>
  <c r="E73" i="23"/>
  <c r="E74" i="23"/>
  <c r="E75" i="23"/>
  <c r="E76" i="23"/>
  <c r="E77" i="23"/>
  <c r="G4" i="5" l="1"/>
  <c r="G6" i="5"/>
  <c r="G5" i="5"/>
  <c r="G8" i="5"/>
  <c r="G7" i="5"/>
  <c r="G9" i="5"/>
  <c r="G19" i="5"/>
  <c r="G13" i="5"/>
  <c r="G20" i="5"/>
  <c r="G14" i="5"/>
  <c r="G12" i="5"/>
  <c r="G15" i="5"/>
  <c r="G16" i="5"/>
  <c r="G10" i="5"/>
  <c r="G29" i="5"/>
  <c r="G11" i="5"/>
  <c r="G31" i="5"/>
  <c r="G30" i="5"/>
  <c r="G32" i="5"/>
  <c r="G34" i="5"/>
  <c r="G35" i="5"/>
  <c r="G17" i="5"/>
  <c r="G21" i="5"/>
  <c r="G22" i="5"/>
  <c r="G18" i="5"/>
  <c r="G27" i="5"/>
  <c r="G24" i="5"/>
  <c r="G28" i="5"/>
  <c r="G39" i="5"/>
  <c r="G37" i="5"/>
  <c r="G41" i="5"/>
  <c r="G23" i="5"/>
  <c r="G36" i="5"/>
  <c r="G42" i="5"/>
  <c r="G40" i="5"/>
  <c r="G33" i="5"/>
  <c r="G25" i="5"/>
  <c r="G26" i="5"/>
  <c r="G43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44" i="5"/>
  <c r="G59" i="5"/>
  <c r="G60" i="5"/>
  <c r="G61" i="5"/>
  <c r="G62" i="5"/>
  <c r="G63" i="5"/>
  <c r="G64" i="5"/>
  <c r="G65" i="5"/>
  <c r="G66" i="5"/>
  <c r="G38" i="5"/>
  <c r="G67" i="5"/>
  <c r="G68" i="5"/>
  <c r="G69" i="5"/>
  <c r="G70" i="5"/>
  <c r="G71" i="5"/>
  <c r="G72" i="5"/>
  <c r="G73" i="5"/>
  <c r="F76" i="5" l="1"/>
  <c r="F77" i="5"/>
  <c r="F78" i="5"/>
  <c r="F79" i="5"/>
  <c r="F75" i="5"/>
  <c r="C7" i="23" l="1"/>
  <c r="C17" i="23"/>
  <c r="C19" i="23"/>
  <c r="C10" i="23"/>
  <c r="C31" i="23"/>
  <c r="C4" i="23"/>
  <c r="C20" i="23"/>
  <c r="C13" i="23"/>
  <c r="C39" i="23"/>
  <c r="C28" i="23"/>
  <c r="C2" i="23"/>
  <c r="C25" i="23"/>
  <c r="C5" i="23"/>
  <c r="C23" i="23"/>
  <c r="C18" i="23"/>
  <c r="C26" i="23"/>
  <c r="C27" i="23"/>
  <c r="C22" i="23"/>
  <c r="C32" i="23"/>
  <c r="C16" i="23"/>
  <c r="C8" i="23"/>
  <c r="C33" i="23"/>
  <c r="C40" i="23"/>
  <c r="C34" i="23"/>
  <c r="C14" i="23"/>
  <c r="C24" i="23"/>
  <c r="C3" i="23"/>
  <c r="C36" i="23"/>
  <c r="C11" i="23"/>
  <c r="C9" i="23"/>
  <c r="C30" i="23"/>
  <c r="C37" i="23"/>
  <c r="C15" i="23"/>
  <c r="C6" i="23"/>
  <c r="C41" i="23"/>
  <c r="C21" i="23"/>
  <c r="C42" i="23"/>
  <c r="C29" i="23"/>
  <c r="C35" i="23"/>
  <c r="C43" i="23"/>
  <c r="C44" i="23"/>
  <c r="C45" i="23"/>
  <c r="C46" i="23"/>
  <c r="C47" i="23"/>
  <c r="C48" i="23"/>
  <c r="C49" i="23"/>
  <c r="C50" i="23"/>
  <c r="C12" i="23"/>
  <c r="C51" i="23"/>
  <c r="C52" i="23"/>
  <c r="C53" i="23"/>
  <c r="C54" i="23"/>
  <c r="C55" i="23"/>
  <c r="C56" i="23"/>
  <c r="C57" i="23"/>
  <c r="C58" i="23"/>
  <c r="C59" i="23"/>
  <c r="C60" i="23"/>
  <c r="C38" i="23"/>
  <c r="C61" i="23"/>
  <c r="C62" i="23"/>
  <c r="C63" i="23"/>
  <c r="C64" i="23"/>
  <c r="C65" i="23"/>
  <c r="C66" i="23"/>
  <c r="C67" i="23"/>
  <c r="C68" i="23"/>
  <c r="C69" i="23"/>
  <c r="C70" i="23"/>
  <c r="C71" i="23"/>
  <c r="C72" i="23"/>
  <c r="C73" i="23"/>
  <c r="C74" i="23"/>
  <c r="C75" i="23"/>
  <c r="C76" i="23"/>
  <c r="C77" i="23"/>
  <c r="E4" i="5"/>
  <c r="E19" i="5"/>
  <c r="E6" i="5"/>
  <c r="E34" i="5"/>
  <c r="E30" i="5"/>
  <c r="E20" i="5"/>
  <c r="E31" i="5"/>
  <c r="E8" i="5"/>
  <c r="E5" i="5"/>
  <c r="E7" i="5"/>
  <c r="E16" i="5"/>
  <c r="E29" i="5"/>
  <c r="E15" i="5"/>
  <c r="E12" i="5"/>
  <c r="E27" i="5"/>
  <c r="E9" i="5"/>
  <c r="E39" i="5"/>
  <c r="E14" i="5"/>
  <c r="E32" i="5"/>
  <c r="E28" i="5"/>
  <c r="E22" i="5"/>
  <c r="E35" i="5"/>
  <c r="E13" i="5"/>
  <c r="E10" i="5"/>
  <c r="E11" i="5"/>
  <c r="E23" i="5"/>
  <c r="E18" i="5"/>
  <c r="E24" i="5"/>
  <c r="E17" i="5"/>
  <c r="E42" i="5"/>
  <c r="E21" i="5"/>
  <c r="E36" i="5"/>
  <c r="E37" i="5"/>
  <c r="E33" i="5"/>
  <c r="E40" i="5"/>
  <c r="E41" i="5"/>
  <c r="E25" i="5"/>
  <c r="E26" i="5"/>
  <c r="E43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44" i="5"/>
  <c r="E59" i="5"/>
  <c r="E60" i="5"/>
  <c r="E61" i="5"/>
  <c r="E62" i="5"/>
  <c r="E63" i="5"/>
  <c r="E64" i="5"/>
  <c r="E65" i="5"/>
  <c r="E66" i="5"/>
  <c r="E38" i="5"/>
  <c r="E67" i="5"/>
  <c r="E68" i="5"/>
  <c r="E69" i="5"/>
  <c r="E70" i="5"/>
  <c r="E71" i="5"/>
  <c r="E72" i="5"/>
  <c r="E73" i="5"/>
  <c r="H5" i="8" l="1"/>
  <c r="H6" i="8"/>
  <c r="H7" i="8"/>
  <c r="H8" i="8"/>
  <c r="H9" i="8"/>
  <c r="H10" i="8"/>
  <c r="H11" i="8"/>
  <c r="H12" i="8"/>
  <c r="M18" i="5" s="1"/>
  <c r="H13" i="8"/>
  <c r="H14" i="8"/>
  <c r="H15" i="8"/>
  <c r="H16" i="8"/>
  <c r="H17" i="8"/>
  <c r="H18" i="8"/>
  <c r="M30" i="5" s="1"/>
  <c r="H19" i="8"/>
  <c r="H20" i="8"/>
  <c r="M12" i="5" s="1"/>
  <c r="H21" i="8"/>
  <c r="H22" i="8"/>
  <c r="H23" i="8"/>
  <c r="H24" i="8"/>
  <c r="D19" i="5"/>
  <c r="M19" i="5"/>
  <c r="D34" i="5"/>
  <c r="H34" i="5"/>
  <c r="I34" i="5"/>
  <c r="K34" i="5"/>
  <c r="M34" i="5"/>
  <c r="D20" i="5"/>
  <c r="K20" i="5"/>
  <c r="M20" i="5"/>
  <c r="D30" i="5"/>
  <c r="H30" i="5"/>
  <c r="I30" i="5"/>
  <c r="K30" i="5"/>
  <c r="D31" i="5"/>
  <c r="I31" i="5"/>
  <c r="K31" i="5"/>
  <c r="M31" i="5"/>
  <c r="D6" i="5"/>
  <c r="M6" i="5"/>
  <c r="D7" i="5"/>
  <c r="M7" i="5"/>
  <c r="D8" i="5"/>
  <c r="K8" i="5"/>
  <c r="M8" i="5"/>
  <c r="D16" i="5"/>
  <c r="M16" i="5"/>
  <c r="D29" i="5"/>
  <c r="I29" i="5"/>
  <c r="K29" i="5"/>
  <c r="M29" i="5"/>
  <c r="D5" i="5"/>
  <c r="D27" i="5"/>
  <c r="H27" i="5"/>
  <c r="M27" i="5"/>
  <c r="D39" i="5"/>
  <c r="F39" i="5"/>
  <c r="H39" i="5"/>
  <c r="K39" i="5"/>
  <c r="M39" i="5"/>
  <c r="D15" i="5"/>
  <c r="F15" i="5"/>
  <c r="I15" i="5"/>
  <c r="M15" i="5"/>
  <c r="D12" i="5"/>
  <c r="F12" i="5"/>
  <c r="D28" i="5"/>
  <c r="M28" i="5"/>
  <c r="D9" i="5"/>
  <c r="M9" i="5"/>
  <c r="D32" i="5"/>
  <c r="H32" i="5"/>
  <c r="I32" i="5"/>
  <c r="K32" i="5"/>
  <c r="M32" i="5"/>
  <c r="D14" i="5"/>
  <c r="K14" i="5"/>
  <c r="M14" i="5"/>
  <c r="D22" i="5"/>
  <c r="M22" i="5"/>
  <c r="D10" i="5"/>
  <c r="M10" i="5"/>
  <c r="D35" i="5"/>
  <c r="F35" i="5"/>
  <c r="H35" i="5"/>
  <c r="I35" i="5"/>
  <c r="K35" i="5"/>
  <c r="M35" i="5"/>
  <c r="D13" i="5"/>
  <c r="F13" i="5"/>
  <c r="M13" i="5"/>
  <c r="D23" i="5"/>
  <c r="K23" i="5"/>
  <c r="M23" i="5"/>
  <c r="D18" i="5"/>
  <c r="I18" i="5"/>
  <c r="D11" i="5"/>
  <c r="K11" i="5"/>
  <c r="M11" i="5"/>
  <c r="D42" i="5"/>
  <c r="H42" i="5"/>
  <c r="I42" i="5"/>
  <c r="K42" i="5"/>
  <c r="M42" i="5"/>
  <c r="D36" i="5"/>
  <c r="F36" i="5"/>
  <c r="H36" i="5"/>
  <c r="I36" i="5"/>
  <c r="K36" i="5"/>
  <c r="M36" i="5"/>
  <c r="D21" i="5"/>
  <c r="F21" i="5"/>
  <c r="K21" i="5"/>
  <c r="M21" i="5"/>
  <c r="D24" i="5"/>
  <c r="F24" i="5"/>
  <c r="K24" i="5"/>
  <c r="M24" i="5"/>
  <c r="D37" i="5"/>
  <c r="F37" i="5"/>
  <c r="H37" i="5"/>
  <c r="K37" i="5"/>
  <c r="M37" i="5"/>
  <c r="D33" i="5"/>
  <c r="K33" i="5"/>
  <c r="M33" i="5"/>
  <c r="D17" i="5"/>
  <c r="M17" i="5"/>
  <c r="D41" i="5"/>
  <c r="F41" i="5"/>
  <c r="H41" i="5"/>
  <c r="I41" i="5"/>
  <c r="M41" i="5"/>
  <c r="D25" i="5"/>
  <c r="F25" i="5"/>
  <c r="H25" i="5"/>
  <c r="K25" i="5"/>
  <c r="M25" i="5"/>
  <c r="D26" i="5"/>
  <c r="F26" i="5"/>
  <c r="H26" i="5"/>
  <c r="K26" i="5"/>
  <c r="M26" i="5"/>
  <c r="D43" i="5"/>
  <c r="F43" i="5"/>
  <c r="H43" i="5"/>
  <c r="I43" i="5"/>
  <c r="K43" i="5"/>
  <c r="M43" i="5"/>
  <c r="D45" i="5"/>
  <c r="F45" i="5"/>
  <c r="H45" i="5"/>
  <c r="I45" i="5"/>
  <c r="K45" i="5"/>
  <c r="M45" i="5"/>
  <c r="D46" i="5"/>
  <c r="F46" i="5"/>
  <c r="H46" i="5"/>
  <c r="I46" i="5"/>
  <c r="K46" i="5"/>
  <c r="M46" i="5"/>
  <c r="D47" i="5"/>
  <c r="F47" i="5"/>
  <c r="H47" i="5"/>
  <c r="I47" i="5"/>
  <c r="K47" i="5"/>
  <c r="M47" i="5"/>
  <c r="D48" i="5"/>
  <c r="F48" i="5"/>
  <c r="H48" i="5"/>
  <c r="I48" i="5"/>
  <c r="K48" i="5"/>
  <c r="M48" i="5"/>
  <c r="D49" i="5"/>
  <c r="F49" i="5"/>
  <c r="H49" i="5"/>
  <c r="I49" i="5"/>
  <c r="K49" i="5"/>
  <c r="M49" i="5"/>
  <c r="D50" i="5"/>
  <c r="F50" i="5"/>
  <c r="H50" i="5"/>
  <c r="I50" i="5"/>
  <c r="K50" i="5"/>
  <c r="M50" i="5"/>
  <c r="D51" i="5"/>
  <c r="F51" i="5"/>
  <c r="H51" i="5"/>
  <c r="I51" i="5"/>
  <c r="K51" i="5"/>
  <c r="M51" i="5"/>
  <c r="D52" i="5"/>
  <c r="F52" i="5"/>
  <c r="H52" i="5"/>
  <c r="I52" i="5"/>
  <c r="K52" i="5"/>
  <c r="M52" i="5"/>
  <c r="D53" i="5"/>
  <c r="F53" i="5"/>
  <c r="H53" i="5"/>
  <c r="I53" i="5"/>
  <c r="K53" i="5"/>
  <c r="M53" i="5"/>
  <c r="D54" i="5"/>
  <c r="F54" i="5"/>
  <c r="H54" i="5"/>
  <c r="I54" i="5"/>
  <c r="K54" i="5"/>
  <c r="M54" i="5"/>
  <c r="D55" i="5"/>
  <c r="F55" i="5"/>
  <c r="H55" i="5"/>
  <c r="I55" i="5"/>
  <c r="K55" i="5"/>
  <c r="M55" i="5"/>
  <c r="D56" i="5"/>
  <c r="F56" i="5"/>
  <c r="H56" i="5"/>
  <c r="I56" i="5"/>
  <c r="K56" i="5"/>
  <c r="M56" i="5"/>
  <c r="D57" i="5"/>
  <c r="F57" i="5"/>
  <c r="H57" i="5"/>
  <c r="I57" i="5"/>
  <c r="K57" i="5"/>
  <c r="M57" i="5"/>
  <c r="D58" i="5"/>
  <c r="F58" i="5"/>
  <c r="H58" i="5"/>
  <c r="I58" i="5"/>
  <c r="K58" i="5"/>
  <c r="M58" i="5"/>
  <c r="D44" i="5"/>
  <c r="F44" i="5"/>
  <c r="H44" i="5"/>
  <c r="I44" i="5"/>
  <c r="K44" i="5"/>
  <c r="M44" i="5"/>
  <c r="D59" i="5"/>
  <c r="F59" i="5"/>
  <c r="H59" i="5"/>
  <c r="I59" i="5"/>
  <c r="K59" i="5"/>
  <c r="M59" i="5"/>
  <c r="D60" i="5"/>
  <c r="F60" i="5"/>
  <c r="H60" i="5"/>
  <c r="I60" i="5"/>
  <c r="K60" i="5"/>
  <c r="M60" i="5"/>
  <c r="D61" i="5"/>
  <c r="F61" i="5"/>
  <c r="H61" i="5"/>
  <c r="I61" i="5"/>
  <c r="K61" i="5"/>
  <c r="M61" i="5"/>
  <c r="D62" i="5"/>
  <c r="F62" i="5"/>
  <c r="H62" i="5"/>
  <c r="I62" i="5"/>
  <c r="K62" i="5"/>
  <c r="M62" i="5"/>
  <c r="D63" i="5"/>
  <c r="F63" i="5"/>
  <c r="H63" i="5"/>
  <c r="I63" i="5"/>
  <c r="K63" i="5"/>
  <c r="M63" i="5"/>
  <c r="D40" i="5"/>
  <c r="F40" i="5"/>
  <c r="H40" i="5"/>
  <c r="I40" i="5"/>
  <c r="K40" i="5"/>
  <c r="M40" i="5"/>
  <c r="D64" i="5"/>
  <c r="F64" i="5"/>
  <c r="H64" i="5"/>
  <c r="I64" i="5"/>
  <c r="K64" i="5"/>
  <c r="M64" i="5"/>
  <c r="D65" i="5"/>
  <c r="F65" i="5"/>
  <c r="H65" i="5"/>
  <c r="I65" i="5"/>
  <c r="K65" i="5"/>
  <c r="M65" i="5"/>
  <c r="D66" i="5"/>
  <c r="F66" i="5"/>
  <c r="H66" i="5"/>
  <c r="I66" i="5"/>
  <c r="K66" i="5"/>
  <c r="M66" i="5"/>
  <c r="D38" i="5"/>
  <c r="F38" i="5"/>
  <c r="H38" i="5"/>
  <c r="I38" i="5"/>
  <c r="K38" i="5"/>
  <c r="M38" i="5"/>
  <c r="D67" i="5"/>
  <c r="F67" i="5"/>
  <c r="H67" i="5"/>
  <c r="I67" i="5"/>
  <c r="K67" i="5"/>
  <c r="M67" i="5"/>
  <c r="D68" i="5"/>
  <c r="F68" i="5"/>
  <c r="H68" i="5"/>
  <c r="I68" i="5"/>
  <c r="K68" i="5"/>
  <c r="M68" i="5"/>
  <c r="D69" i="5"/>
  <c r="F69" i="5"/>
  <c r="H69" i="5"/>
  <c r="I69" i="5"/>
  <c r="K69" i="5"/>
  <c r="M69" i="5"/>
  <c r="D70" i="5"/>
  <c r="F70" i="5"/>
  <c r="H70" i="5"/>
  <c r="I70" i="5"/>
  <c r="K70" i="5"/>
  <c r="M70" i="5"/>
  <c r="D71" i="5"/>
  <c r="F71" i="5"/>
  <c r="H71" i="5"/>
  <c r="I71" i="5"/>
  <c r="K71" i="5"/>
  <c r="M71" i="5"/>
  <c r="D72" i="5"/>
  <c r="F72" i="5"/>
  <c r="H72" i="5"/>
  <c r="I72" i="5"/>
  <c r="K72" i="5"/>
  <c r="M72" i="5"/>
  <c r="D73" i="5"/>
  <c r="F73" i="5"/>
  <c r="H73" i="5"/>
  <c r="I73" i="5"/>
  <c r="K73" i="5"/>
  <c r="M73" i="5"/>
  <c r="M4" i="5"/>
  <c r="K4" i="5"/>
  <c r="B7" i="23"/>
  <c r="D7" i="23"/>
  <c r="F7" i="23"/>
  <c r="G7" i="23"/>
  <c r="I7" i="23"/>
  <c r="J7" i="23"/>
  <c r="K7" i="23"/>
  <c r="B17" i="23"/>
  <c r="D17" i="23"/>
  <c r="F17" i="23"/>
  <c r="G17" i="23"/>
  <c r="I17" i="23"/>
  <c r="J17" i="23"/>
  <c r="K17" i="23"/>
  <c r="B13" i="23"/>
  <c r="D13" i="23"/>
  <c r="F13" i="23"/>
  <c r="G13" i="23"/>
  <c r="I13" i="23"/>
  <c r="J13" i="23"/>
  <c r="K13" i="23"/>
  <c r="B28" i="23"/>
  <c r="D28" i="23"/>
  <c r="F28" i="23"/>
  <c r="G28" i="23"/>
  <c r="I28" i="23"/>
  <c r="J28" i="23"/>
  <c r="K28" i="23"/>
  <c r="B19" i="23"/>
  <c r="D19" i="23"/>
  <c r="F19" i="23"/>
  <c r="G19" i="23"/>
  <c r="I19" i="23"/>
  <c r="J19" i="23"/>
  <c r="K19" i="23"/>
  <c r="B2" i="23"/>
  <c r="D2" i="23"/>
  <c r="F2" i="23"/>
  <c r="G2" i="23"/>
  <c r="I2" i="23"/>
  <c r="J2" i="23"/>
  <c r="K2" i="23"/>
  <c r="B10" i="23"/>
  <c r="D10" i="23"/>
  <c r="F10" i="23"/>
  <c r="G10" i="23"/>
  <c r="I10" i="23"/>
  <c r="J10" i="23"/>
  <c r="K10" i="23"/>
  <c r="B9" i="23"/>
  <c r="D9" i="23"/>
  <c r="F9" i="23"/>
  <c r="G9" i="23"/>
  <c r="I9" i="23"/>
  <c r="J9" i="23"/>
  <c r="K9" i="23"/>
  <c r="B32" i="23"/>
  <c r="D32" i="23"/>
  <c r="F32" i="23"/>
  <c r="G32" i="23"/>
  <c r="I32" i="23"/>
  <c r="J32" i="23"/>
  <c r="K32" i="23"/>
  <c r="B39" i="23"/>
  <c r="D39" i="23"/>
  <c r="F39" i="23"/>
  <c r="G39" i="23"/>
  <c r="I39" i="23"/>
  <c r="J39" i="23"/>
  <c r="K39" i="23"/>
  <c r="B5" i="23"/>
  <c r="D5" i="23"/>
  <c r="F5" i="23"/>
  <c r="G5" i="23"/>
  <c r="I5" i="23"/>
  <c r="J5" i="23"/>
  <c r="K5" i="23"/>
  <c r="B25" i="23"/>
  <c r="D25" i="23"/>
  <c r="F25" i="23"/>
  <c r="G25" i="23"/>
  <c r="I25" i="23"/>
  <c r="J25" i="23"/>
  <c r="K25" i="23"/>
  <c r="B31" i="23"/>
  <c r="D31" i="23"/>
  <c r="F31" i="23"/>
  <c r="G31" i="23"/>
  <c r="I31" i="23"/>
  <c r="J31" i="23"/>
  <c r="K31" i="23"/>
  <c r="B18" i="23"/>
  <c r="D18" i="23"/>
  <c r="F18" i="23"/>
  <c r="G18" i="23"/>
  <c r="I18" i="23"/>
  <c r="J18" i="23"/>
  <c r="K18" i="23"/>
  <c r="B26" i="23"/>
  <c r="D26" i="23"/>
  <c r="F26" i="23"/>
  <c r="G26" i="23"/>
  <c r="I26" i="23"/>
  <c r="J26" i="23"/>
  <c r="K26" i="23"/>
  <c r="B40" i="23"/>
  <c r="D40" i="23"/>
  <c r="F40" i="23"/>
  <c r="G40" i="23"/>
  <c r="I40" i="23"/>
  <c r="J40" i="23"/>
  <c r="K40" i="23"/>
  <c r="B20" i="23"/>
  <c r="D20" i="23"/>
  <c r="F20" i="23"/>
  <c r="G20" i="23"/>
  <c r="I20" i="23"/>
  <c r="J20" i="23"/>
  <c r="K20" i="23"/>
  <c r="B36" i="23"/>
  <c r="D36" i="23"/>
  <c r="F36" i="23"/>
  <c r="G36" i="23"/>
  <c r="I36" i="23"/>
  <c r="J36" i="23"/>
  <c r="K36" i="23"/>
  <c r="B24" i="23"/>
  <c r="D24" i="23"/>
  <c r="F24" i="23"/>
  <c r="G24" i="23"/>
  <c r="I24" i="23"/>
  <c r="J24" i="23"/>
  <c r="K24" i="23"/>
  <c r="B23" i="23"/>
  <c r="D23" i="23"/>
  <c r="F23" i="23"/>
  <c r="G23" i="23"/>
  <c r="I23" i="23"/>
  <c r="J23" i="23"/>
  <c r="K23" i="23"/>
  <c r="B16" i="23"/>
  <c r="D16" i="23"/>
  <c r="F16" i="23"/>
  <c r="G16" i="23"/>
  <c r="I16" i="23"/>
  <c r="J16" i="23"/>
  <c r="K16" i="23"/>
  <c r="B22" i="23"/>
  <c r="D22" i="23"/>
  <c r="F22" i="23"/>
  <c r="G22" i="23"/>
  <c r="I22" i="23"/>
  <c r="J22" i="23"/>
  <c r="K22" i="23"/>
  <c r="B8" i="23"/>
  <c r="D8" i="23"/>
  <c r="F8" i="23"/>
  <c r="G8" i="23"/>
  <c r="I8" i="23"/>
  <c r="J8" i="23"/>
  <c r="K8" i="23"/>
  <c r="B34" i="23"/>
  <c r="D34" i="23"/>
  <c r="F34" i="23"/>
  <c r="G34" i="23"/>
  <c r="I34" i="23"/>
  <c r="J34" i="23"/>
  <c r="K34" i="23"/>
  <c r="B14" i="23"/>
  <c r="D14" i="23"/>
  <c r="F14" i="23"/>
  <c r="G14" i="23"/>
  <c r="I14" i="23"/>
  <c r="J14" i="23"/>
  <c r="K14" i="23"/>
  <c r="B3" i="23"/>
  <c r="D3" i="23"/>
  <c r="F3" i="23"/>
  <c r="G3" i="23"/>
  <c r="I3" i="23"/>
  <c r="J3" i="23"/>
  <c r="K3" i="23"/>
  <c r="B33" i="23"/>
  <c r="D33" i="23"/>
  <c r="F33" i="23"/>
  <c r="G33" i="23"/>
  <c r="I33" i="23"/>
  <c r="J33" i="23"/>
  <c r="K33" i="23"/>
  <c r="B27" i="23"/>
  <c r="D27" i="23"/>
  <c r="F27" i="23"/>
  <c r="G27" i="23"/>
  <c r="I27" i="23"/>
  <c r="J27" i="23"/>
  <c r="K27" i="23"/>
  <c r="B30" i="23"/>
  <c r="D30" i="23"/>
  <c r="F30" i="23"/>
  <c r="G30" i="23"/>
  <c r="I30" i="23"/>
  <c r="J30" i="23"/>
  <c r="K30" i="23"/>
  <c r="B11" i="23"/>
  <c r="D11" i="23"/>
  <c r="F11" i="23"/>
  <c r="G11" i="23"/>
  <c r="I11" i="23"/>
  <c r="J11" i="23"/>
  <c r="K11" i="23"/>
  <c r="B37" i="23"/>
  <c r="D37" i="23"/>
  <c r="F37" i="23"/>
  <c r="G37" i="23"/>
  <c r="I37" i="23"/>
  <c r="J37" i="23"/>
  <c r="K37" i="23"/>
  <c r="B15" i="23"/>
  <c r="D15" i="23"/>
  <c r="F15" i="23"/>
  <c r="G15" i="23"/>
  <c r="I15" i="23"/>
  <c r="J15" i="23"/>
  <c r="K15" i="23"/>
  <c r="B6" i="23"/>
  <c r="D6" i="23"/>
  <c r="F6" i="23"/>
  <c r="G6" i="23"/>
  <c r="I6" i="23"/>
  <c r="J6" i="23"/>
  <c r="K6" i="23"/>
  <c r="B41" i="23"/>
  <c r="D41" i="23"/>
  <c r="F41" i="23"/>
  <c r="G41" i="23"/>
  <c r="I41" i="23"/>
  <c r="J41" i="23"/>
  <c r="K41" i="23"/>
  <c r="B21" i="23"/>
  <c r="D21" i="23"/>
  <c r="F21" i="23"/>
  <c r="G21" i="23"/>
  <c r="I21" i="23"/>
  <c r="J21" i="23"/>
  <c r="K21" i="23"/>
  <c r="B42" i="23"/>
  <c r="D42" i="23"/>
  <c r="F42" i="23"/>
  <c r="G42" i="23"/>
  <c r="I42" i="23"/>
  <c r="J42" i="23"/>
  <c r="K42" i="23"/>
  <c r="B29" i="23"/>
  <c r="D29" i="23"/>
  <c r="F29" i="23"/>
  <c r="G29" i="23"/>
  <c r="I29" i="23"/>
  <c r="J29" i="23"/>
  <c r="K29" i="23"/>
  <c r="B35" i="23"/>
  <c r="D35" i="23"/>
  <c r="F35" i="23"/>
  <c r="G35" i="23"/>
  <c r="I35" i="23"/>
  <c r="J35" i="23"/>
  <c r="K35" i="23"/>
  <c r="B43" i="23"/>
  <c r="D43" i="23"/>
  <c r="F43" i="23"/>
  <c r="G43" i="23"/>
  <c r="I43" i="23"/>
  <c r="J43" i="23"/>
  <c r="K43" i="23"/>
  <c r="B44" i="23"/>
  <c r="D44" i="23"/>
  <c r="F44" i="23"/>
  <c r="G44" i="23"/>
  <c r="I44" i="23"/>
  <c r="J44" i="23"/>
  <c r="K44" i="23"/>
  <c r="B45" i="23"/>
  <c r="D45" i="23"/>
  <c r="F45" i="23"/>
  <c r="G45" i="23"/>
  <c r="I45" i="23"/>
  <c r="J45" i="23"/>
  <c r="K45" i="23"/>
  <c r="B46" i="23"/>
  <c r="D46" i="23"/>
  <c r="F46" i="23"/>
  <c r="G46" i="23"/>
  <c r="I46" i="23"/>
  <c r="J46" i="23"/>
  <c r="K46" i="23"/>
  <c r="B47" i="23"/>
  <c r="D47" i="23"/>
  <c r="F47" i="23"/>
  <c r="G47" i="23"/>
  <c r="I47" i="23"/>
  <c r="J47" i="23"/>
  <c r="K47" i="23"/>
  <c r="B48" i="23"/>
  <c r="D48" i="23"/>
  <c r="F48" i="23"/>
  <c r="G48" i="23"/>
  <c r="I48" i="23"/>
  <c r="J48" i="23"/>
  <c r="K48" i="23"/>
  <c r="B49" i="23"/>
  <c r="D49" i="23"/>
  <c r="F49" i="23"/>
  <c r="G49" i="23"/>
  <c r="I49" i="23"/>
  <c r="J49" i="23"/>
  <c r="K49" i="23"/>
  <c r="B50" i="23"/>
  <c r="D50" i="23"/>
  <c r="F50" i="23"/>
  <c r="G50" i="23"/>
  <c r="I50" i="23"/>
  <c r="J50" i="23"/>
  <c r="K50" i="23"/>
  <c r="B12" i="23"/>
  <c r="D12" i="23"/>
  <c r="G12" i="23"/>
  <c r="I12" i="23"/>
  <c r="J12" i="23"/>
  <c r="K12" i="23"/>
  <c r="B51" i="23"/>
  <c r="D51" i="23"/>
  <c r="F51" i="23"/>
  <c r="G51" i="23"/>
  <c r="I51" i="23"/>
  <c r="J51" i="23"/>
  <c r="K51" i="23"/>
  <c r="B52" i="23"/>
  <c r="D52" i="23"/>
  <c r="F52" i="23"/>
  <c r="G52" i="23"/>
  <c r="I52" i="23"/>
  <c r="J52" i="23"/>
  <c r="K52" i="23"/>
  <c r="B53" i="23"/>
  <c r="D53" i="23"/>
  <c r="F53" i="23"/>
  <c r="G53" i="23"/>
  <c r="I53" i="23"/>
  <c r="J53" i="23"/>
  <c r="K53" i="23"/>
  <c r="B54" i="23"/>
  <c r="D54" i="23"/>
  <c r="F54" i="23"/>
  <c r="G54" i="23"/>
  <c r="I54" i="23"/>
  <c r="J54" i="23"/>
  <c r="K54" i="23"/>
  <c r="B55" i="23"/>
  <c r="D55" i="23"/>
  <c r="F55" i="23"/>
  <c r="G55" i="23"/>
  <c r="I55" i="23"/>
  <c r="J55" i="23"/>
  <c r="K55" i="23"/>
  <c r="B56" i="23"/>
  <c r="D56" i="23"/>
  <c r="F56" i="23"/>
  <c r="G56" i="23"/>
  <c r="I56" i="23"/>
  <c r="J56" i="23"/>
  <c r="K56" i="23"/>
  <c r="B57" i="23"/>
  <c r="D57" i="23"/>
  <c r="F57" i="23"/>
  <c r="G57" i="23"/>
  <c r="I57" i="23"/>
  <c r="J57" i="23"/>
  <c r="K57" i="23"/>
  <c r="B58" i="23"/>
  <c r="D58" i="23"/>
  <c r="F58" i="23"/>
  <c r="G58" i="23"/>
  <c r="I58" i="23"/>
  <c r="J58" i="23"/>
  <c r="K58" i="23"/>
  <c r="B59" i="23"/>
  <c r="D59" i="23"/>
  <c r="F59" i="23"/>
  <c r="G59" i="23"/>
  <c r="I59" i="23"/>
  <c r="J59" i="23"/>
  <c r="K59" i="23"/>
  <c r="B60" i="23"/>
  <c r="D60" i="23"/>
  <c r="F60" i="23"/>
  <c r="G60" i="23"/>
  <c r="I60" i="23"/>
  <c r="J60" i="23"/>
  <c r="K60" i="23"/>
  <c r="B38" i="23"/>
  <c r="D38" i="23"/>
  <c r="F38" i="23"/>
  <c r="G38" i="23"/>
  <c r="I38" i="23"/>
  <c r="J38" i="23"/>
  <c r="K38" i="23"/>
  <c r="B61" i="23"/>
  <c r="D61" i="23"/>
  <c r="F61" i="23"/>
  <c r="G61" i="23"/>
  <c r="I61" i="23"/>
  <c r="J61" i="23"/>
  <c r="K61" i="23"/>
  <c r="B62" i="23"/>
  <c r="D62" i="23"/>
  <c r="F62" i="23"/>
  <c r="G62" i="23"/>
  <c r="I62" i="23"/>
  <c r="J62" i="23"/>
  <c r="K62" i="23"/>
  <c r="B63" i="23"/>
  <c r="D63" i="23"/>
  <c r="F63" i="23"/>
  <c r="G63" i="23"/>
  <c r="I63" i="23"/>
  <c r="J63" i="23"/>
  <c r="K63" i="23"/>
  <c r="B64" i="23"/>
  <c r="D64" i="23"/>
  <c r="F64" i="23"/>
  <c r="G64" i="23"/>
  <c r="I64" i="23"/>
  <c r="J64" i="23"/>
  <c r="K64" i="23"/>
  <c r="B65" i="23"/>
  <c r="D65" i="23"/>
  <c r="F65" i="23"/>
  <c r="G65" i="23"/>
  <c r="I65" i="23"/>
  <c r="J65" i="23"/>
  <c r="K65" i="23"/>
  <c r="B66" i="23"/>
  <c r="D66" i="23"/>
  <c r="F66" i="23"/>
  <c r="G66" i="23"/>
  <c r="I66" i="23"/>
  <c r="J66" i="23"/>
  <c r="K66" i="23"/>
  <c r="B67" i="23"/>
  <c r="D67" i="23"/>
  <c r="F67" i="23"/>
  <c r="G67" i="23"/>
  <c r="I67" i="23"/>
  <c r="J67" i="23"/>
  <c r="K67" i="23"/>
  <c r="B68" i="23"/>
  <c r="D68" i="23"/>
  <c r="F68" i="23"/>
  <c r="G68" i="23"/>
  <c r="I68" i="23"/>
  <c r="J68" i="23"/>
  <c r="K68" i="23"/>
  <c r="B69" i="23"/>
  <c r="D69" i="23"/>
  <c r="F69" i="23"/>
  <c r="G69" i="23"/>
  <c r="I69" i="23"/>
  <c r="J69" i="23"/>
  <c r="K69" i="23"/>
  <c r="B70" i="23"/>
  <c r="D70" i="23"/>
  <c r="F70" i="23"/>
  <c r="G70" i="23"/>
  <c r="I70" i="23"/>
  <c r="J70" i="23"/>
  <c r="K70" i="23"/>
  <c r="B71" i="23"/>
  <c r="D71" i="23"/>
  <c r="F71" i="23"/>
  <c r="G71" i="23"/>
  <c r="I71" i="23"/>
  <c r="J71" i="23"/>
  <c r="K71" i="23"/>
  <c r="B72" i="23"/>
  <c r="D72" i="23"/>
  <c r="F72" i="23"/>
  <c r="G72" i="23"/>
  <c r="I72" i="23"/>
  <c r="J72" i="23"/>
  <c r="K72" i="23"/>
  <c r="B73" i="23"/>
  <c r="D73" i="23"/>
  <c r="F73" i="23"/>
  <c r="G73" i="23"/>
  <c r="I73" i="23"/>
  <c r="J73" i="23"/>
  <c r="K73" i="23"/>
  <c r="B74" i="23"/>
  <c r="D74" i="23"/>
  <c r="F74" i="23"/>
  <c r="G74" i="23"/>
  <c r="I74" i="23"/>
  <c r="J74" i="23"/>
  <c r="K74" i="23"/>
  <c r="B75" i="23"/>
  <c r="D75" i="23"/>
  <c r="F75" i="23"/>
  <c r="G75" i="23"/>
  <c r="I75" i="23"/>
  <c r="J75" i="23"/>
  <c r="K75" i="23"/>
  <c r="B76" i="23"/>
  <c r="D76" i="23"/>
  <c r="F76" i="23"/>
  <c r="G76" i="23"/>
  <c r="I76" i="23"/>
  <c r="J76" i="23"/>
  <c r="K76" i="23"/>
  <c r="B77" i="23"/>
  <c r="D77" i="23"/>
  <c r="F77" i="23"/>
  <c r="G77" i="23"/>
  <c r="I77" i="23"/>
  <c r="J77" i="23"/>
  <c r="K77" i="23"/>
  <c r="K4" i="23"/>
  <c r="J4" i="23"/>
  <c r="I4" i="23"/>
  <c r="G4" i="23"/>
  <c r="F4" i="23"/>
  <c r="D4" i="23"/>
  <c r="H60" i="32"/>
  <c r="H61" i="32" s="1"/>
  <c r="C60" i="32"/>
  <c r="C61" i="32" s="1"/>
  <c r="H59" i="32"/>
  <c r="H62" i="32" s="1"/>
  <c r="C59" i="32"/>
  <c r="C62" i="32" s="1"/>
  <c r="H58" i="32"/>
  <c r="C58" i="32"/>
  <c r="P55" i="32"/>
  <c r="N55" i="32"/>
  <c r="M55" i="32"/>
  <c r="L55" i="32"/>
  <c r="G55" i="32"/>
  <c r="O55" i="32" s="1"/>
  <c r="P54" i="32"/>
  <c r="N54" i="32"/>
  <c r="M54" i="32"/>
  <c r="L54" i="32"/>
  <c r="G54" i="32"/>
  <c r="O54" i="32" s="1"/>
  <c r="P53" i="32"/>
  <c r="N53" i="32"/>
  <c r="M53" i="32"/>
  <c r="L53" i="32"/>
  <c r="O53" i="32" s="1"/>
  <c r="G53" i="32"/>
  <c r="P52" i="32"/>
  <c r="N52" i="32"/>
  <c r="M52" i="32"/>
  <c r="L52" i="32"/>
  <c r="G52" i="32"/>
  <c r="O52" i="32" s="1"/>
  <c r="P51" i="32"/>
  <c r="N51" i="32"/>
  <c r="M51" i="32"/>
  <c r="L51" i="32"/>
  <c r="G51" i="32"/>
  <c r="O51" i="32" s="1"/>
  <c r="P50" i="32"/>
  <c r="N50" i="32"/>
  <c r="M50" i="32"/>
  <c r="L50" i="32"/>
  <c r="G50" i="32"/>
  <c r="O50" i="32" s="1"/>
  <c r="P49" i="32"/>
  <c r="N49" i="32"/>
  <c r="M49" i="32"/>
  <c r="L49" i="32"/>
  <c r="O49" i="32" s="1"/>
  <c r="G49" i="32"/>
  <c r="P48" i="32"/>
  <c r="N48" i="32"/>
  <c r="M48" i="32"/>
  <c r="L48" i="32"/>
  <c r="G48" i="32"/>
  <c r="O48" i="32" s="1"/>
  <c r="P47" i="32"/>
  <c r="N47" i="32"/>
  <c r="M47" i="32"/>
  <c r="L47" i="32"/>
  <c r="G47" i="32"/>
  <c r="O47" i="32" s="1"/>
  <c r="P46" i="32"/>
  <c r="N46" i="32"/>
  <c r="M46" i="32"/>
  <c r="L46" i="32"/>
  <c r="G46" i="32"/>
  <c r="O46" i="32" s="1"/>
  <c r="P45" i="32"/>
  <c r="N45" i="32"/>
  <c r="M45" i="32"/>
  <c r="L45" i="32"/>
  <c r="O45" i="32" s="1"/>
  <c r="G45" i="32"/>
  <c r="P44" i="32"/>
  <c r="N44" i="32"/>
  <c r="M44" i="32"/>
  <c r="L44" i="32"/>
  <c r="G44" i="32"/>
  <c r="O44" i="32" s="1"/>
  <c r="P43" i="32"/>
  <c r="N43" i="32"/>
  <c r="M43" i="32"/>
  <c r="L43" i="32"/>
  <c r="G43" i="32"/>
  <c r="O43" i="32" s="1"/>
  <c r="P42" i="32"/>
  <c r="N42" i="32"/>
  <c r="M42" i="32"/>
  <c r="L42" i="32"/>
  <c r="G42" i="32"/>
  <c r="O42" i="32" s="1"/>
  <c r="P41" i="32"/>
  <c r="N41" i="32"/>
  <c r="M41" i="32"/>
  <c r="L41" i="32"/>
  <c r="O41" i="32" s="1"/>
  <c r="G41" i="32"/>
  <c r="P40" i="32"/>
  <c r="N40" i="32"/>
  <c r="M40" i="32"/>
  <c r="L40" i="32"/>
  <c r="G40" i="32"/>
  <c r="O40" i="32" s="1"/>
  <c r="P39" i="32"/>
  <c r="N39" i="32"/>
  <c r="M39" i="32"/>
  <c r="L39" i="32"/>
  <c r="G39" i="32"/>
  <c r="O39" i="32" s="1"/>
  <c r="P38" i="32"/>
  <c r="N38" i="32"/>
  <c r="M38" i="32"/>
  <c r="L38" i="32"/>
  <c r="G38" i="32"/>
  <c r="O38" i="32" s="1"/>
  <c r="P37" i="32"/>
  <c r="N37" i="32"/>
  <c r="M37" i="32"/>
  <c r="L37" i="32"/>
  <c r="O37" i="32" s="1"/>
  <c r="G37" i="32"/>
  <c r="P36" i="32"/>
  <c r="N36" i="32"/>
  <c r="M36" i="32"/>
  <c r="L36" i="32"/>
  <c r="G36" i="32"/>
  <c r="O36" i="32" s="1"/>
  <c r="P35" i="32"/>
  <c r="N35" i="32"/>
  <c r="M35" i="32"/>
  <c r="L35" i="32"/>
  <c r="G35" i="32"/>
  <c r="O35" i="32" s="1"/>
  <c r="P34" i="32"/>
  <c r="N34" i="32"/>
  <c r="M34" i="32"/>
  <c r="L34" i="32"/>
  <c r="G34" i="32"/>
  <c r="O34" i="32" s="1"/>
  <c r="P33" i="32"/>
  <c r="N33" i="32"/>
  <c r="M33" i="32"/>
  <c r="L33" i="32"/>
  <c r="O33" i="32" s="1"/>
  <c r="G33" i="32"/>
  <c r="P32" i="32"/>
  <c r="N32" i="32"/>
  <c r="M32" i="32"/>
  <c r="L32" i="32"/>
  <c r="G32" i="32"/>
  <c r="O32" i="32" s="1"/>
  <c r="P31" i="32"/>
  <c r="N31" i="32"/>
  <c r="M31" i="32"/>
  <c r="L31" i="32"/>
  <c r="G31" i="32"/>
  <c r="O31" i="32" s="1"/>
  <c r="P30" i="32"/>
  <c r="N30" i="32"/>
  <c r="M30" i="32"/>
  <c r="L30" i="32"/>
  <c r="G30" i="32"/>
  <c r="O30" i="32" s="1"/>
  <c r="P29" i="32"/>
  <c r="N29" i="32"/>
  <c r="M29" i="32"/>
  <c r="L29" i="32"/>
  <c r="O29" i="32" s="1"/>
  <c r="G29" i="32"/>
  <c r="P28" i="32"/>
  <c r="N28" i="32"/>
  <c r="M28" i="32"/>
  <c r="L28" i="32"/>
  <c r="G28" i="32"/>
  <c r="O28" i="32" s="1"/>
  <c r="P27" i="32"/>
  <c r="N27" i="32"/>
  <c r="M27" i="32"/>
  <c r="L27" i="32"/>
  <c r="G27" i="32"/>
  <c r="O27" i="32" s="1"/>
  <c r="P26" i="32"/>
  <c r="N26" i="32"/>
  <c r="M26" i="32"/>
  <c r="L26" i="32"/>
  <c r="G26" i="32"/>
  <c r="O26" i="32" s="1"/>
  <c r="P25" i="32"/>
  <c r="N25" i="32"/>
  <c r="M25" i="32"/>
  <c r="L25" i="32"/>
  <c r="O25" i="32" s="1"/>
  <c r="G25" i="32"/>
  <c r="P24" i="32"/>
  <c r="N24" i="32"/>
  <c r="M24" i="32"/>
  <c r="L24" i="32"/>
  <c r="G24" i="32"/>
  <c r="O24" i="32" s="1"/>
  <c r="P23" i="32"/>
  <c r="N23" i="32"/>
  <c r="M23" i="32"/>
  <c r="L23" i="32"/>
  <c r="G23" i="32"/>
  <c r="O23" i="32" s="1"/>
  <c r="P22" i="32"/>
  <c r="N22" i="32"/>
  <c r="M22" i="32"/>
  <c r="L22" i="32"/>
  <c r="G22" i="32"/>
  <c r="O22" i="32" s="1"/>
  <c r="P21" i="32"/>
  <c r="N21" i="32"/>
  <c r="M21" i="32"/>
  <c r="L21" i="32"/>
  <c r="O21" i="32" s="1"/>
  <c r="G21" i="32"/>
  <c r="P20" i="32"/>
  <c r="N20" i="32"/>
  <c r="M20" i="32"/>
  <c r="L20" i="32"/>
  <c r="G20" i="32"/>
  <c r="O20" i="32" s="1"/>
  <c r="P19" i="32"/>
  <c r="N19" i="32"/>
  <c r="M19" i="32"/>
  <c r="L19" i="32"/>
  <c r="G19" i="32"/>
  <c r="O19" i="32" s="1"/>
  <c r="P18" i="32"/>
  <c r="N18" i="32"/>
  <c r="M18" i="32"/>
  <c r="L18" i="32"/>
  <c r="G18" i="32"/>
  <c r="O18" i="32" s="1"/>
  <c r="P17" i="32"/>
  <c r="N17" i="32"/>
  <c r="M17" i="32"/>
  <c r="L17" i="32"/>
  <c r="O17" i="32" s="1"/>
  <c r="G17" i="32"/>
  <c r="P16" i="32"/>
  <c r="N16" i="32"/>
  <c r="M16" i="32"/>
  <c r="L16" i="32"/>
  <c r="G16" i="32"/>
  <c r="O16" i="32" s="1"/>
  <c r="P15" i="32"/>
  <c r="N15" i="32"/>
  <c r="M15" i="32"/>
  <c r="L15" i="32"/>
  <c r="G15" i="32"/>
  <c r="O15" i="32" s="1"/>
  <c r="P14" i="32"/>
  <c r="N14" i="32"/>
  <c r="M14" i="32"/>
  <c r="L14" i="32"/>
  <c r="G14" i="32"/>
  <c r="O14" i="32" s="1"/>
  <c r="P13" i="32"/>
  <c r="N13" i="32"/>
  <c r="M13" i="32"/>
  <c r="L13" i="32"/>
  <c r="O13" i="32" s="1"/>
  <c r="G13" i="32"/>
  <c r="P12" i="32"/>
  <c r="N12" i="32"/>
  <c r="M12" i="32"/>
  <c r="L12" i="32"/>
  <c r="G12" i="32"/>
  <c r="O12" i="32" s="1"/>
  <c r="P11" i="32"/>
  <c r="N11" i="32"/>
  <c r="M11" i="32"/>
  <c r="L11" i="32"/>
  <c r="G11" i="32"/>
  <c r="O11" i="32" s="1"/>
  <c r="P10" i="32"/>
  <c r="N10" i="32"/>
  <c r="M10" i="32"/>
  <c r="L10" i="32"/>
  <c r="G10" i="32"/>
  <c r="O10" i="32" s="1"/>
  <c r="P9" i="32"/>
  <c r="N9" i="32"/>
  <c r="M9" i="32"/>
  <c r="L9" i="32"/>
  <c r="O9" i="32" s="1"/>
  <c r="G9" i="32"/>
  <c r="P8" i="32"/>
  <c r="N8" i="32"/>
  <c r="M8" i="32"/>
  <c r="L8" i="32"/>
  <c r="G8" i="32"/>
  <c r="O8" i="32" s="1"/>
  <c r="P7" i="32"/>
  <c r="N7" i="32"/>
  <c r="M7" i="32"/>
  <c r="L7" i="32"/>
  <c r="G7" i="32"/>
  <c r="O7" i="32" s="1"/>
  <c r="P6" i="32"/>
  <c r="N6" i="32"/>
  <c r="M6" i="32"/>
  <c r="L6" i="32"/>
  <c r="G6" i="32"/>
  <c r="O6" i="32" s="1"/>
  <c r="P5" i="32"/>
  <c r="N5" i="32"/>
  <c r="N59" i="32" s="1"/>
  <c r="M5" i="32"/>
  <c r="L5" i="32"/>
  <c r="O5" i="32" s="1"/>
  <c r="N60" i="32" s="1"/>
  <c r="N61" i="32" s="1"/>
  <c r="G5" i="32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6" i="1"/>
  <c r="H27" i="1"/>
  <c r="H28" i="1"/>
  <c r="H29" i="1"/>
  <c r="H30" i="1"/>
  <c r="H31" i="1"/>
  <c r="H32" i="1"/>
  <c r="B14" i="20"/>
  <c r="B13" i="20"/>
  <c r="B12" i="20"/>
  <c r="B11" i="20"/>
  <c r="B10" i="20"/>
  <c r="B9" i="20"/>
  <c r="B8" i="20"/>
  <c r="B7" i="20"/>
  <c r="B6" i="20"/>
  <c r="G17" i="8"/>
  <c r="G18" i="8"/>
  <c r="G19" i="8"/>
  <c r="G20" i="8"/>
  <c r="G21" i="8"/>
  <c r="G22" i="8"/>
  <c r="G23" i="8"/>
  <c r="G24" i="8"/>
  <c r="H4" i="8"/>
  <c r="M5" i="5" s="1"/>
  <c r="H4" i="12"/>
  <c r="K5" i="5" s="1"/>
  <c r="H5" i="12"/>
  <c r="K9" i="5" s="1"/>
  <c r="H6" i="12"/>
  <c r="H7" i="12"/>
  <c r="H8" i="12"/>
  <c r="H9" i="12"/>
  <c r="K6" i="5" s="1"/>
  <c r="H10" i="12"/>
  <c r="K15" i="5" s="1"/>
  <c r="H11" i="12"/>
  <c r="K7" i="5" s="1"/>
  <c r="H12" i="12"/>
  <c r="K10" i="5" s="1"/>
  <c r="H13" i="12"/>
  <c r="K16" i="5" s="1"/>
  <c r="H14" i="12"/>
  <c r="H15" i="12"/>
  <c r="H16" i="12"/>
  <c r="K12" i="5" s="1"/>
  <c r="H17" i="12"/>
  <c r="K13" i="5" s="1"/>
  <c r="H18" i="12"/>
  <c r="K19" i="5" s="1"/>
  <c r="H19" i="12"/>
  <c r="K18" i="5" s="1"/>
  <c r="H20" i="12"/>
  <c r="K22" i="5" s="1"/>
  <c r="H21" i="12"/>
  <c r="K28" i="5" s="1"/>
  <c r="H22" i="12"/>
  <c r="K27" i="5" s="1"/>
  <c r="H23" i="12"/>
  <c r="H24" i="12"/>
  <c r="K17" i="5" s="1"/>
  <c r="H25" i="12"/>
  <c r="K41" i="5" s="1"/>
  <c r="H26" i="12"/>
  <c r="H4" i="24"/>
  <c r="H5" i="24"/>
  <c r="H6" i="24"/>
  <c r="H7" i="24"/>
  <c r="H8" i="24"/>
  <c r="H9" i="24"/>
  <c r="H10" i="24"/>
  <c r="H11" i="24"/>
  <c r="H12" i="24"/>
  <c r="H13" i="24"/>
  <c r="H14" i="24"/>
  <c r="H15" i="24"/>
  <c r="H16" i="24"/>
  <c r="H17" i="24"/>
  <c r="H18" i="24"/>
  <c r="H19" i="24"/>
  <c r="H20" i="24"/>
  <c r="H21" i="24"/>
  <c r="H22" i="24"/>
  <c r="H23" i="24"/>
  <c r="H24" i="24"/>
  <c r="H25" i="24"/>
  <c r="H26" i="24"/>
  <c r="H27" i="24"/>
  <c r="H28" i="24"/>
  <c r="H29" i="24"/>
  <c r="H30" i="24"/>
  <c r="H31" i="24"/>
  <c r="H4" i="11"/>
  <c r="I11" i="5" s="1"/>
  <c r="H5" i="11"/>
  <c r="I27" i="5" s="1"/>
  <c r="H6" i="11"/>
  <c r="I7" i="5" s="1"/>
  <c r="H7" i="11"/>
  <c r="I22" i="5" s="1"/>
  <c r="H8" i="11"/>
  <c r="H9" i="11"/>
  <c r="I25" i="5" s="1"/>
  <c r="H10" i="11"/>
  <c r="I5" i="5" s="1"/>
  <c r="H11" i="11"/>
  <c r="I14" i="5" s="1"/>
  <c r="H12" i="11"/>
  <c r="H13" i="11"/>
  <c r="I8" i="5" s="1"/>
  <c r="H14" i="11"/>
  <c r="I4" i="5" s="1"/>
  <c r="H15" i="11"/>
  <c r="I6" i="5" s="1"/>
  <c r="H16" i="11"/>
  <c r="I37" i="5" s="1"/>
  <c r="H17" i="11"/>
  <c r="I20" i="5" s="1"/>
  <c r="H18" i="11"/>
  <c r="I10" i="5" s="1"/>
  <c r="H19" i="11"/>
  <c r="I9" i="5" s="1"/>
  <c r="H20" i="11"/>
  <c r="I16" i="5" s="1"/>
  <c r="H21" i="11"/>
  <c r="I17" i="5" s="1"/>
  <c r="H22" i="11"/>
  <c r="I12" i="5" s="1"/>
  <c r="H23" i="11"/>
  <c r="I13" i="5" s="1"/>
  <c r="H24" i="11"/>
  <c r="I28" i="5" s="1"/>
  <c r="H25" i="11"/>
  <c r="I26" i="5" s="1"/>
  <c r="H26" i="11"/>
  <c r="I21" i="5" s="1"/>
  <c r="H27" i="11"/>
  <c r="I23" i="5" s="1"/>
  <c r="H28" i="11"/>
  <c r="I33" i="5" s="1"/>
  <c r="H29" i="11"/>
  <c r="I19" i="5" s="1"/>
  <c r="H30" i="11"/>
  <c r="I24" i="5" s="1"/>
  <c r="I39" i="5"/>
  <c r="H4" i="10"/>
  <c r="H6" i="5" s="1"/>
  <c r="H5" i="10"/>
  <c r="H24" i="5" s="1"/>
  <c r="H6" i="10"/>
  <c r="H14" i="5" s="1"/>
  <c r="H7" i="10"/>
  <c r="H4" i="5" s="1"/>
  <c r="H8" i="10"/>
  <c r="H17" i="5" s="1"/>
  <c r="H9" i="10"/>
  <c r="H18" i="5" s="1"/>
  <c r="H10" i="10"/>
  <c r="H12" i="5" s="1"/>
  <c r="H11" i="10"/>
  <c r="H5" i="5" s="1"/>
  <c r="H12" i="10"/>
  <c r="H9" i="5" s="1"/>
  <c r="H13" i="10"/>
  <c r="H20" i="5" s="1"/>
  <c r="H14" i="10"/>
  <c r="H10" i="5" s="1"/>
  <c r="H15" i="10"/>
  <c r="H7" i="5" s="1"/>
  <c r="H16" i="10"/>
  <c r="H16" i="5" s="1"/>
  <c r="H17" i="10"/>
  <c r="H11" i="5" s="1"/>
  <c r="H18" i="10"/>
  <c r="H19" i="10"/>
  <c r="H28" i="5" s="1"/>
  <c r="H20" i="10"/>
  <c r="H21" i="10"/>
  <c r="H19" i="5" s="1"/>
  <c r="H22" i="10"/>
  <c r="H13" i="5" s="1"/>
  <c r="H23" i="10"/>
  <c r="H8" i="5" s="1"/>
  <c r="H24" i="10"/>
  <c r="H25" i="10"/>
  <c r="H21" i="5" s="1"/>
  <c r="H26" i="10"/>
  <c r="H23" i="5" s="1"/>
  <c r="H27" i="10"/>
  <c r="H29" i="5" s="1"/>
  <c r="H28" i="10"/>
  <c r="H33" i="5" s="1"/>
  <c r="H29" i="10"/>
  <c r="H30" i="10"/>
  <c r="H15" i="5" s="1"/>
  <c r="H31" i="10"/>
  <c r="H22" i="5" s="1"/>
  <c r="H32" i="10"/>
  <c r="H31" i="5" s="1"/>
  <c r="H33" i="10"/>
  <c r="H34" i="10"/>
  <c r="H35" i="10"/>
  <c r="H36" i="10"/>
  <c r="H37" i="10"/>
  <c r="H38" i="10"/>
  <c r="H39" i="10"/>
  <c r="H40" i="10"/>
  <c r="H41" i="10"/>
  <c r="H7" i="9"/>
  <c r="F19" i="5" s="1"/>
  <c r="H8" i="9"/>
  <c r="F10" i="5" s="1"/>
  <c r="H9" i="9"/>
  <c r="F5" i="5" s="1"/>
  <c r="H10" i="9"/>
  <c r="F8" i="5" s="1"/>
  <c r="H11" i="9"/>
  <c r="F6" i="5" s="1"/>
  <c r="H12" i="9"/>
  <c r="F7" i="5" s="1"/>
  <c r="H13" i="9"/>
  <c r="H14" i="9"/>
  <c r="F18" i="5" s="1"/>
  <c r="H15" i="9"/>
  <c r="H16" i="9"/>
  <c r="F29" i="5" s="1"/>
  <c r="H17" i="9"/>
  <c r="F11" i="5" s="1"/>
  <c r="H18" i="9"/>
  <c r="F9" i="5" s="1"/>
  <c r="H19" i="9"/>
  <c r="F16" i="5" s="1"/>
  <c r="H20" i="9"/>
  <c r="F34" i="5" s="1"/>
  <c r="H21" i="9"/>
  <c r="F31" i="5" s="1"/>
  <c r="H22" i="9"/>
  <c r="H23" i="9"/>
  <c r="H24" i="9"/>
  <c r="H25" i="9"/>
  <c r="F17" i="5" s="1"/>
  <c r="H26" i="9"/>
  <c r="F27" i="5" s="1"/>
  <c r="H27" i="9"/>
  <c r="F14" i="5" s="1"/>
  <c r="H28" i="9"/>
  <c r="F32" i="5" s="1"/>
  <c r="H29" i="9"/>
  <c r="F22" i="5" s="1"/>
  <c r="H30" i="9"/>
  <c r="H31" i="9"/>
  <c r="F28" i="5" s="1"/>
  <c r="H32" i="9"/>
  <c r="H33" i="9"/>
  <c r="F30" i="5" s="1"/>
  <c r="H34" i="9"/>
  <c r="F42" i="5" s="1"/>
  <c r="H35" i="9"/>
  <c r="F23" i="5" s="1"/>
  <c r="H36" i="9"/>
  <c r="F33" i="5" s="1"/>
  <c r="H37" i="9"/>
  <c r="H60" i="31"/>
  <c r="C60" i="31"/>
  <c r="H59" i="31"/>
  <c r="C59" i="31"/>
  <c r="H58" i="31"/>
  <c r="C58" i="31"/>
  <c r="P55" i="31"/>
  <c r="N55" i="31"/>
  <c r="M55" i="31"/>
  <c r="L55" i="31"/>
  <c r="G55" i="31"/>
  <c r="P54" i="31"/>
  <c r="N54" i="31"/>
  <c r="M54" i="31"/>
  <c r="L54" i="31"/>
  <c r="G54" i="31"/>
  <c r="P53" i="31"/>
  <c r="N53" i="31"/>
  <c r="M53" i="31"/>
  <c r="L53" i="31"/>
  <c r="G53" i="31"/>
  <c r="P52" i="31"/>
  <c r="N52" i="31"/>
  <c r="M52" i="31"/>
  <c r="L52" i="31"/>
  <c r="G52" i="31"/>
  <c r="P51" i="31"/>
  <c r="N51" i="31"/>
  <c r="M51" i="31"/>
  <c r="L51" i="31"/>
  <c r="G51" i="31"/>
  <c r="P50" i="31"/>
  <c r="N50" i="31"/>
  <c r="M50" i="31"/>
  <c r="L50" i="31"/>
  <c r="G50" i="31"/>
  <c r="O50" i="31" s="1"/>
  <c r="P49" i="31"/>
  <c r="N49" i="31"/>
  <c r="M49" i="31"/>
  <c r="L49" i="31"/>
  <c r="G49" i="31"/>
  <c r="P48" i="31"/>
  <c r="N48" i="31"/>
  <c r="M48" i="31"/>
  <c r="L48" i="31"/>
  <c r="G48" i="31"/>
  <c r="P47" i="31"/>
  <c r="N47" i="31"/>
  <c r="M47" i="31"/>
  <c r="L47" i="31"/>
  <c r="G47" i="31"/>
  <c r="O47" i="31" s="1"/>
  <c r="P46" i="31"/>
  <c r="N46" i="31"/>
  <c r="M46" i="31"/>
  <c r="L46" i="31"/>
  <c r="G46" i="31"/>
  <c r="P45" i="31"/>
  <c r="N45" i="31"/>
  <c r="M45" i="31"/>
  <c r="L45" i="31"/>
  <c r="O45" i="31" s="1"/>
  <c r="G45" i="31"/>
  <c r="P44" i="31"/>
  <c r="N44" i="31"/>
  <c r="M44" i="31"/>
  <c r="L44" i="31"/>
  <c r="G44" i="31"/>
  <c r="P43" i="31"/>
  <c r="N43" i="31"/>
  <c r="M43" i="31"/>
  <c r="L43" i="31"/>
  <c r="G43" i="31"/>
  <c r="P42" i="31"/>
  <c r="N42" i="31"/>
  <c r="M42" i="31"/>
  <c r="L42" i="31"/>
  <c r="G42" i="31"/>
  <c r="P41" i="31"/>
  <c r="N41" i="31"/>
  <c r="M41" i="31"/>
  <c r="L41" i="31"/>
  <c r="G41" i="31"/>
  <c r="O41" i="31" s="1"/>
  <c r="P40" i="31"/>
  <c r="N40" i="31"/>
  <c r="M40" i="31"/>
  <c r="L40" i="31"/>
  <c r="G40" i="31"/>
  <c r="P39" i="31"/>
  <c r="N39" i="31"/>
  <c r="M39" i="31"/>
  <c r="L39" i="31"/>
  <c r="G39" i="31"/>
  <c r="P38" i="31"/>
  <c r="N38" i="31"/>
  <c r="M38" i="31"/>
  <c r="L38" i="31"/>
  <c r="G38" i="31"/>
  <c r="P37" i="31"/>
  <c r="N37" i="31"/>
  <c r="M37" i="31"/>
  <c r="L37" i="31"/>
  <c r="G37" i="31"/>
  <c r="P36" i="31"/>
  <c r="N36" i="31"/>
  <c r="M36" i="31"/>
  <c r="L36" i="31"/>
  <c r="G36" i="31"/>
  <c r="P35" i="31"/>
  <c r="N35" i="31"/>
  <c r="M35" i="31"/>
  <c r="L35" i="31"/>
  <c r="G35" i="31"/>
  <c r="P34" i="31"/>
  <c r="N34" i="31"/>
  <c r="M34" i="31"/>
  <c r="L34" i="31"/>
  <c r="G34" i="31"/>
  <c r="P33" i="31"/>
  <c r="N33" i="31"/>
  <c r="M33" i="31"/>
  <c r="L33" i="31"/>
  <c r="G33" i="31"/>
  <c r="O33" i="31" s="1"/>
  <c r="P32" i="31"/>
  <c r="N32" i="31"/>
  <c r="M32" i="31"/>
  <c r="L32" i="31"/>
  <c r="G32" i="31"/>
  <c r="N31" i="31"/>
  <c r="M31" i="31"/>
  <c r="L31" i="31"/>
  <c r="G31" i="31"/>
  <c r="N30" i="31"/>
  <c r="M30" i="31"/>
  <c r="L30" i="31"/>
  <c r="G30" i="31"/>
  <c r="P27" i="31"/>
  <c r="N27" i="31"/>
  <c r="M27" i="31"/>
  <c r="L27" i="31"/>
  <c r="O27" i="31" s="1"/>
  <c r="G27" i="31"/>
  <c r="N29" i="31"/>
  <c r="M29" i="31"/>
  <c r="L29" i="31"/>
  <c r="G29" i="31"/>
  <c r="N28" i="31"/>
  <c r="M28" i="31"/>
  <c r="L28" i="31"/>
  <c r="G28" i="31"/>
  <c r="P20" i="31"/>
  <c r="N20" i="31"/>
  <c r="M20" i="31"/>
  <c r="L20" i="31"/>
  <c r="G20" i="31"/>
  <c r="P24" i="31"/>
  <c r="N24" i="31"/>
  <c r="M24" i="31"/>
  <c r="L24" i="31"/>
  <c r="G24" i="31"/>
  <c r="P19" i="31"/>
  <c r="N19" i="31"/>
  <c r="M19" i="31"/>
  <c r="L19" i="31"/>
  <c r="G19" i="31"/>
  <c r="P25" i="31"/>
  <c r="N25" i="31"/>
  <c r="M25" i="31"/>
  <c r="L25" i="31"/>
  <c r="G25" i="31"/>
  <c r="P23" i="31"/>
  <c r="N23" i="31"/>
  <c r="M23" i="31"/>
  <c r="L23" i="31"/>
  <c r="G23" i="31"/>
  <c r="P26" i="31"/>
  <c r="N26" i="31"/>
  <c r="M26" i="31"/>
  <c r="L26" i="31"/>
  <c r="G26" i="31"/>
  <c r="P21" i="31"/>
  <c r="N21" i="31"/>
  <c r="M21" i="31"/>
  <c r="L21" i="31"/>
  <c r="G21" i="31"/>
  <c r="P15" i="31"/>
  <c r="N15" i="31"/>
  <c r="M15" i="31"/>
  <c r="L15" i="31"/>
  <c r="G15" i="31"/>
  <c r="O15" i="31" s="1"/>
  <c r="P18" i="31"/>
  <c r="N18" i="31"/>
  <c r="M18" i="31"/>
  <c r="L18" i="31"/>
  <c r="G18" i="31"/>
  <c r="O18" i="31" s="1"/>
  <c r="P17" i="31"/>
  <c r="N17" i="31"/>
  <c r="M17" i="31"/>
  <c r="L17" i="31"/>
  <c r="G17" i="31"/>
  <c r="P14" i="31"/>
  <c r="N14" i="31"/>
  <c r="M14" i="31"/>
  <c r="L14" i="31"/>
  <c r="G14" i="31"/>
  <c r="O14" i="31" s="1"/>
  <c r="P22" i="31"/>
  <c r="N22" i="31"/>
  <c r="M22" i="31"/>
  <c r="L22" i="31"/>
  <c r="G22" i="31"/>
  <c r="P9" i="31"/>
  <c r="N9" i="31"/>
  <c r="M9" i="31"/>
  <c r="L9" i="31"/>
  <c r="G9" i="31"/>
  <c r="P13" i="31"/>
  <c r="N13" i="31"/>
  <c r="M13" i="31"/>
  <c r="L13" i="31"/>
  <c r="G13" i="31"/>
  <c r="P11" i="31"/>
  <c r="N11" i="31"/>
  <c r="M11" i="31"/>
  <c r="L11" i="31"/>
  <c r="G11" i="31"/>
  <c r="P16" i="31"/>
  <c r="N16" i="31"/>
  <c r="M16" i="31"/>
  <c r="L16" i="31"/>
  <c r="G16" i="31"/>
  <c r="P10" i="31"/>
  <c r="N10" i="31"/>
  <c r="M10" i="31"/>
  <c r="L10" i="31"/>
  <c r="G10" i="31"/>
  <c r="P12" i="31"/>
  <c r="O12" i="31"/>
  <c r="N12" i="31"/>
  <c r="M12" i="31"/>
  <c r="L12" i="31"/>
  <c r="G12" i="31"/>
  <c r="P7" i="31"/>
  <c r="N7" i="31"/>
  <c r="M7" i="31"/>
  <c r="L7" i="31"/>
  <c r="G7" i="31"/>
  <c r="P8" i="31"/>
  <c r="N8" i="31"/>
  <c r="M8" i="31"/>
  <c r="L8" i="31"/>
  <c r="G8" i="31"/>
  <c r="P5" i="31"/>
  <c r="O5" i="31"/>
  <c r="N5" i="31"/>
  <c r="M5" i="31"/>
  <c r="L5" i="31"/>
  <c r="G5" i="31"/>
  <c r="P6" i="31"/>
  <c r="N6" i="31"/>
  <c r="M6" i="31"/>
  <c r="L6" i="31"/>
  <c r="G6" i="31"/>
  <c r="H61" i="31" l="1"/>
  <c r="O46" i="31"/>
  <c r="O49" i="31"/>
  <c r="O24" i="31"/>
  <c r="O38" i="31"/>
  <c r="O19" i="31"/>
  <c r="O54" i="31"/>
  <c r="O10" i="31"/>
  <c r="O34" i="31"/>
  <c r="O42" i="31"/>
  <c r="O53" i="31"/>
  <c r="O17" i="31"/>
  <c r="O21" i="31"/>
  <c r="O29" i="31"/>
  <c r="O6" i="31"/>
  <c r="O7" i="31"/>
  <c r="O9" i="31"/>
  <c r="O51" i="31"/>
  <c r="O23" i="31"/>
  <c r="O32" i="31"/>
  <c r="O35" i="31"/>
  <c r="O26" i="31"/>
  <c r="O22" i="31"/>
  <c r="O43" i="31"/>
  <c r="O25" i="31"/>
  <c r="O20" i="31"/>
  <c r="O31" i="31"/>
  <c r="O37" i="31"/>
  <c r="O48" i="31"/>
  <c r="O16" i="31"/>
  <c r="O44" i="31"/>
  <c r="O8" i="31"/>
  <c r="O13" i="31"/>
  <c r="O40" i="31"/>
  <c r="O28" i="31"/>
  <c r="O30" i="31"/>
  <c r="O36" i="31"/>
  <c r="O52" i="31"/>
  <c r="O11" i="31"/>
  <c r="O39" i="31"/>
  <c r="O55" i="31"/>
  <c r="H62" i="31"/>
  <c r="N59" i="31"/>
  <c r="C62" i="31"/>
  <c r="N58" i="32"/>
  <c r="N62" i="32" s="1"/>
  <c r="C61" i="31"/>
  <c r="N58" i="31"/>
  <c r="N62" i="31" l="1"/>
  <c r="N60" i="31"/>
  <c r="N61" i="31" s="1"/>
  <c r="C46" i="5" l="1"/>
  <c r="C47" i="5"/>
  <c r="C48" i="5"/>
  <c r="C49" i="5"/>
  <c r="C50" i="5"/>
  <c r="C51" i="5"/>
  <c r="C53" i="5"/>
  <c r="C54" i="5"/>
  <c r="C55" i="5"/>
  <c r="C56" i="5"/>
  <c r="C58" i="5"/>
  <c r="C59" i="5"/>
  <c r="C60" i="5"/>
  <c r="C61" i="5"/>
  <c r="C62" i="5"/>
  <c r="C63" i="5"/>
  <c r="C66" i="5"/>
  <c r="C67" i="5"/>
  <c r="C68" i="5"/>
  <c r="C69" i="5"/>
  <c r="C70" i="5"/>
  <c r="C71" i="5"/>
  <c r="C72" i="5"/>
  <c r="C73" i="5"/>
  <c r="L3" i="23" l="1"/>
  <c r="B4" i="23"/>
  <c r="L5" i="23" l="1"/>
  <c r="L30" i="23" l="1"/>
  <c r="L20" i="23"/>
  <c r="C5" i="5" s="1"/>
  <c r="C21" i="5" l="1"/>
  <c r="N38" i="5"/>
  <c r="L41" i="23"/>
  <c r="N70" i="5"/>
  <c r="N60" i="5"/>
  <c r="N64" i="5"/>
  <c r="N66" i="5"/>
  <c r="N72" i="5"/>
  <c r="N62" i="5"/>
  <c r="N67" i="5"/>
  <c r="N63" i="5"/>
  <c r="N68" i="5"/>
  <c r="N71" i="5"/>
  <c r="N61" i="5"/>
  <c r="N69" i="5"/>
  <c r="N59" i="5"/>
  <c r="N65" i="5"/>
  <c r="N44" i="5"/>
  <c r="L75" i="23"/>
  <c r="L74" i="23"/>
  <c r="L21" i="23"/>
  <c r="L66" i="23"/>
  <c r="L63" i="23"/>
  <c r="L2" i="23"/>
  <c r="L34" i="23"/>
  <c r="L71" i="23"/>
  <c r="L67" i="23"/>
  <c r="L64" i="23"/>
  <c r="L62" i="23"/>
  <c r="L15" i="23"/>
  <c r="L73" i="23"/>
  <c r="L69" i="23"/>
  <c r="L65" i="23"/>
  <c r="L10" i="23"/>
  <c r="L72" i="23"/>
  <c r="L70" i="23"/>
  <c r="L68" i="23"/>
  <c r="B5" i="20"/>
  <c r="C20" i="20"/>
  <c r="C21" i="20"/>
  <c r="G14" i="20"/>
  <c r="G13" i="20"/>
  <c r="G12" i="20"/>
  <c r="G11" i="20"/>
  <c r="G10" i="20"/>
  <c r="G9" i="20"/>
  <c r="G8" i="20"/>
  <c r="G7" i="20"/>
  <c r="G6" i="20"/>
  <c r="G5" i="20"/>
  <c r="C45" i="5" l="1"/>
  <c r="C25" i="5"/>
  <c r="C11" i="5"/>
  <c r="C64" i="5"/>
  <c r="G27" i="28"/>
  <c r="L27" i="28"/>
  <c r="O27" i="28" s="1"/>
  <c r="M27" i="28"/>
  <c r="N27" i="28"/>
  <c r="P27" i="28" s="1"/>
  <c r="G31" i="24"/>
  <c r="G32" i="24"/>
  <c r="H6" i="9"/>
  <c r="F20" i="5" s="1"/>
  <c r="H5" i="9"/>
  <c r="F4" i="5" s="1"/>
  <c r="G36" i="9"/>
  <c r="G37" i="9"/>
  <c r="G36" i="1"/>
  <c r="G37" i="1"/>
  <c r="C31" i="28" l="1"/>
  <c r="N6" i="28" l="1"/>
  <c r="P6" i="28" s="1"/>
  <c r="L4" i="5" s="1"/>
  <c r="N51" i="5" l="1"/>
  <c r="N52" i="5"/>
  <c r="N50" i="5"/>
  <c r="L58" i="23"/>
  <c r="L57" i="23"/>
  <c r="L38" i="23"/>
  <c r="C40" i="5" s="1"/>
  <c r="L51" i="23" l="1"/>
  <c r="N54" i="5" l="1"/>
  <c r="N53" i="5"/>
  <c r="N56" i="5"/>
  <c r="N55" i="5"/>
  <c r="G6" i="1" l="1"/>
  <c r="G7" i="1"/>
  <c r="D4" i="5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3" i="10"/>
  <c r="G34" i="10"/>
  <c r="G35" i="10"/>
  <c r="G36" i="10"/>
  <c r="G37" i="10"/>
  <c r="G38" i="10"/>
  <c r="G39" i="10"/>
  <c r="G40" i="10"/>
  <c r="G41" i="10"/>
  <c r="G6" i="8"/>
  <c r="G7" i="8"/>
  <c r="G8" i="8"/>
  <c r="G9" i="8"/>
  <c r="G10" i="8"/>
  <c r="G11" i="8"/>
  <c r="G12" i="8"/>
  <c r="G13" i="8"/>
  <c r="G14" i="8"/>
  <c r="G15" i="8"/>
  <c r="G16" i="8"/>
  <c r="G35" i="9"/>
  <c r="N73" i="5" l="1"/>
  <c r="N58" i="5"/>
  <c r="N57" i="5"/>
  <c r="N46" i="5"/>
  <c r="P11" i="27" l="1"/>
  <c r="P16" i="27"/>
  <c r="P10" i="27"/>
  <c r="P18" i="27"/>
  <c r="P12" i="27"/>
  <c r="P8" i="27"/>
  <c r="P6" i="27"/>
  <c r="P15" i="27"/>
  <c r="P22" i="27"/>
  <c r="P13" i="27"/>
  <c r="P17" i="27"/>
  <c r="P25" i="27"/>
  <c r="P9" i="27"/>
  <c r="P29" i="27"/>
  <c r="P7" i="27"/>
  <c r="P23" i="27"/>
  <c r="P19" i="27"/>
  <c r="P20" i="27"/>
  <c r="P14" i="27"/>
  <c r="P26" i="27"/>
  <c r="P28" i="27"/>
  <c r="P27" i="27"/>
  <c r="P24" i="27"/>
  <c r="P30" i="27"/>
  <c r="P21" i="27"/>
  <c r="N45" i="5"/>
  <c r="H32" i="28"/>
  <c r="C32" i="28"/>
  <c r="C33" i="28" s="1"/>
  <c r="C37" i="24"/>
  <c r="C36" i="24"/>
  <c r="J76" i="5" s="1"/>
  <c r="C35" i="24"/>
  <c r="J75" i="5" s="1"/>
  <c r="C56" i="26"/>
  <c r="C45" i="10"/>
  <c r="C44" i="10"/>
  <c r="C43" i="10"/>
  <c r="C41" i="9"/>
  <c r="C40" i="9"/>
  <c r="E76" i="5" s="1"/>
  <c r="C39" i="9"/>
  <c r="E75" i="5" s="1"/>
  <c r="C42" i="1"/>
  <c r="C41" i="1"/>
  <c r="C40" i="1"/>
  <c r="H31" i="28"/>
  <c r="H30" i="28"/>
  <c r="C30" i="28"/>
  <c r="N22" i="28"/>
  <c r="P22" i="28" s="1"/>
  <c r="L19" i="5" s="1"/>
  <c r="M22" i="28"/>
  <c r="L76" i="23" s="1"/>
  <c r="L22" i="28"/>
  <c r="G22" i="28"/>
  <c r="N23" i="28"/>
  <c r="P23" i="28" s="1"/>
  <c r="L22" i="5" s="1"/>
  <c r="M23" i="28"/>
  <c r="L23" i="28"/>
  <c r="G23" i="28"/>
  <c r="N24" i="28"/>
  <c r="P24" i="28" s="1"/>
  <c r="L24" i="5" s="1"/>
  <c r="M24" i="28"/>
  <c r="L11" i="23" s="1"/>
  <c r="L24" i="28"/>
  <c r="G24" i="28"/>
  <c r="N21" i="28"/>
  <c r="P21" i="28" s="1"/>
  <c r="L21" i="5" s="1"/>
  <c r="M21" i="28"/>
  <c r="L21" i="28"/>
  <c r="G21" i="28"/>
  <c r="N25" i="28"/>
  <c r="P25" i="28" s="1"/>
  <c r="L40" i="5" s="1"/>
  <c r="N40" i="5" s="1"/>
  <c r="M25" i="28"/>
  <c r="L25" i="28"/>
  <c r="G25" i="28"/>
  <c r="N7" i="28"/>
  <c r="P7" i="28" s="1"/>
  <c r="L18" i="5" s="1"/>
  <c r="M7" i="28"/>
  <c r="L39" i="23" s="1"/>
  <c r="C9" i="5" s="1"/>
  <c r="L7" i="28"/>
  <c r="G7" i="28"/>
  <c r="N17" i="28"/>
  <c r="P17" i="28" s="1"/>
  <c r="L17" i="5" s="1"/>
  <c r="M17" i="28"/>
  <c r="L36" i="23" s="1"/>
  <c r="L17" i="28"/>
  <c r="G17" i="28"/>
  <c r="N20" i="28"/>
  <c r="P20" i="28" s="1"/>
  <c r="L11" i="5" s="1"/>
  <c r="M20" i="28"/>
  <c r="L20" i="28"/>
  <c r="G20" i="28"/>
  <c r="N14" i="28"/>
  <c r="P14" i="28" s="1"/>
  <c r="L9" i="5" s="1"/>
  <c r="M14" i="28"/>
  <c r="L14" i="28"/>
  <c r="G14" i="28"/>
  <c r="N8" i="28"/>
  <c r="P8" i="28" s="1"/>
  <c r="L10" i="5" s="1"/>
  <c r="M8" i="28"/>
  <c r="L24" i="23" s="1"/>
  <c r="L8" i="28"/>
  <c r="G8" i="28"/>
  <c r="N10" i="28"/>
  <c r="P10" i="28" s="1"/>
  <c r="L25" i="5" s="1"/>
  <c r="M10" i="28"/>
  <c r="L17" i="23" s="1"/>
  <c r="L10" i="28"/>
  <c r="G10" i="28"/>
  <c r="N12" i="28"/>
  <c r="P12" i="28" s="1"/>
  <c r="L5" i="5" s="1"/>
  <c r="M12" i="28"/>
  <c r="L12" i="28"/>
  <c r="G12" i="28"/>
  <c r="N26" i="28"/>
  <c r="P26" i="28" s="1"/>
  <c r="M26" i="28"/>
  <c r="L33" i="23" s="1"/>
  <c r="L26" i="28"/>
  <c r="G26" i="28"/>
  <c r="N19" i="28"/>
  <c r="P19" i="28" s="1"/>
  <c r="L16" i="5" s="1"/>
  <c r="M19" i="28"/>
  <c r="L19" i="28"/>
  <c r="G19" i="28"/>
  <c r="N9" i="28"/>
  <c r="P9" i="28" s="1"/>
  <c r="L7" i="5" s="1"/>
  <c r="M9" i="28"/>
  <c r="L7" i="23" s="1"/>
  <c r="L9" i="28"/>
  <c r="G9" i="28"/>
  <c r="L14" i="23"/>
  <c r="C65" i="5" s="1"/>
  <c r="N18" i="28"/>
  <c r="P18" i="28" s="1"/>
  <c r="L13" i="5" s="1"/>
  <c r="M18" i="28"/>
  <c r="L77" i="23" s="1"/>
  <c r="C41" i="5" s="1"/>
  <c r="L18" i="28"/>
  <c r="G18" i="28"/>
  <c r="N15" i="28"/>
  <c r="P15" i="28" s="1"/>
  <c r="L23" i="5" s="1"/>
  <c r="M15" i="28"/>
  <c r="L15" i="28"/>
  <c r="G15" i="28"/>
  <c r="N16" i="28"/>
  <c r="P16" i="28" s="1"/>
  <c r="L15" i="5" s="1"/>
  <c r="M16" i="28"/>
  <c r="L16" i="28"/>
  <c r="G16" i="28"/>
  <c r="N11" i="28"/>
  <c r="P11" i="28" s="1"/>
  <c r="L8" i="5" s="1"/>
  <c r="M11" i="28"/>
  <c r="L11" i="28"/>
  <c r="G11" i="28"/>
  <c r="N5" i="28"/>
  <c r="P5" i="28" s="1"/>
  <c r="L6" i="5" s="1"/>
  <c r="M5" i="28"/>
  <c r="L8" i="23" s="1"/>
  <c r="L5" i="28"/>
  <c r="G5" i="28"/>
  <c r="M6" i="28"/>
  <c r="L6" i="28"/>
  <c r="G6" i="28"/>
  <c r="N13" i="28"/>
  <c r="P13" i="28" s="1"/>
  <c r="L12" i="5" s="1"/>
  <c r="M13" i="28"/>
  <c r="L37" i="23" s="1"/>
  <c r="L13" i="28"/>
  <c r="G13" i="28"/>
  <c r="C34" i="12"/>
  <c r="C33" i="12"/>
  <c r="C32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G5" i="12"/>
  <c r="G4" i="12"/>
  <c r="C29" i="8"/>
  <c r="M77" i="5" s="1"/>
  <c r="C28" i="8"/>
  <c r="M76" i="5" s="1"/>
  <c r="G5" i="8"/>
  <c r="G4" i="8"/>
  <c r="C58" i="26"/>
  <c r="C57" i="26"/>
  <c r="H53" i="26"/>
  <c r="G53" i="26"/>
  <c r="H52" i="26"/>
  <c r="G52" i="26"/>
  <c r="H51" i="26"/>
  <c r="G51" i="26"/>
  <c r="H50" i="26"/>
  <c r="G50" i="26"/>
  <c r="H49" i="26"/>
  <c r="G49" i="26"/>
  <c r="H48" i="26"/>
  <c r="G48" i="26"/>
  <c r="H47" i="26"/>
  <c r="G47" i="26"/>
  <c r="H46" i="26"/>
  <c r="G46" i="26"/>
  <c r="H45" i="26"/>
  <c r="G45" i="26"/>
  <c r="H44" i="26"/>
  <c r="G44" i="26"/>
  <c r="H43" i="26"/>
  <c r="G43" i="26"/>
  <c r="H42" i="26"/>
  <c r="G42" i="26"/>
  <c r="H41" i="26"/>
  <c r="G41" i="26"/>
  <c r="H40" i="26"/>
  <c r="G40" i="26"/>
  <c r="H39" i="26"/>
  <c r="G39" i="26"/>
  <c r="H38" i="26"/>
  <c r="G38" i="26"/>
  <c r="H37" i="26"/>
  <c r="G37" i="26"/>
  <c r="H36" i="26"/>
  <c r="G36" i="26"/>
  <c r="H35" i="26"/>
  <c r="G35" i="26"/>
  <c r="H34" i="26"/>
  <c r="G34" i="26"/>
  <c r="H33" i="26"/>
  <c r="G33" i="26"/>
  <c r="H32" i="26"/>
  <c r="G32" i="26"/>
  <c r="H31" i="26"/>
  <c r="G31" i="26"/>
  <c r="H30" i="26"/>
  <c r="G30" i="26"/>
  <c r="H29" i="26"/>
  <c r="G29" i="26"/>
  <c r="H28" i="26"/>
  <c r="G28" i="26"/>
  <c r="H27" i="26"/>
  <c r="G27" i="26"/>
  <c r="H26" i="26"/>
  <c r="G26" i="26"/>
  <c r="H25" i="26"/>
  <c r="G25" i="26"/>
  <c r="H24" i="26"/>
  <c r="G24" i="26"/>
  <c r="H23" i="26"/>
  <c r="G23" i="26"/>
  <c r="H22" i="26"/>
  <c r="G22" i="26"/>
  <c r="H21" i="26"/>
  <c r="G21" i="26"/>
  <c r="H20" i="26"/>
  <c r="G20" i="26"/>
  <c r="H19" i="26"/>
  <c r="G19" i="26"/>
  <c r="H18" i="26"/>
  <c r="G18" i="26"/>
  <c r="H17" i="26"/>
  <c r="G17" i="26"/>
  <c r="H16" i="26"/>
  <c r="G16" i="26"/>
  <c r="H15" i="26"/>
  <c r="G15" i="26"/>
  <c r="H14" i="26"/>
  <c r="G14" i="26"/>
  <c r="H13" i="26"/>
  <c r="G13" i="26"/>
  <c r="H12" i="26"/>
  <c r="G12" i="26"/>
  <c r="H11" i="26"/>
  <c r="G11" i="26"/>
  <c r="H10" i="26"/>
  <c r="G10" i="26"/>
  <c r="H9" i="26"/>
  <c r="G9" i="26"/>
  <c r="H8" i="26"/>
  <c r="G8" i="26"/>
  <c r="H7" i="26"/>
  <c r="G7" i="26"/>
  <c r="H6" i="26"/>
  <c r="G6" i="26"/>
  <c r="H5" i="26"/>
  <c r="G5" i="26"/>
  <c r="H4" i="26"/>
  <c r="G4" i="26"/>
  <c r="C35" i="11"/>
  <c r="C34" i="11"/>
  <c r="C33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H37" i="27"/>
  <c r="H36" i="27"/>
  <c r="H38" i="27"/>
  <c r="C36" i="27"/>
  <c r="C37" i="27"/>
  <c r="C38" i="27"/>
  <c r="N33" i="27"/>
  <c r="M33" i="27"/>
  <c r="L33" i="27"/>
  <c r="G33" i="27"/>
  <c r="N32" i="27"/>
  <c r="M32" i="27"/>
  <c r="L32" i="27"/>
  <c r="G32" i="27"/>
  <c r="N31" i="27"/>
  <c r="M31" i="27"/>
  <c r="L31" i="27"/>
  <c r="G31" i="27"/>
  <c r="N21" i="27"/>
  <c r="M21" i="27"/>
  <c r="L21" i="27"/>
  <c r="G21" i="27"/>
  <c r="N30" i="27"/>
  <c r="M30" i="27"/>
  <c r="L30" i="27"/>
  <c r="G30" i="27"/>
  <c r="N24" i="27"/>
  <c r="M24" i="27"/>
  <c r="L24" i="27"/>
  <c r="G24" i="27"/>
  <c r="N27" i="27"/>
  <c r="M27" i="27"/>
  <c r="L27" i="27"/>
  <c r="G27" i="27"/>
  <c r="N28" i="27"/>
  <c r="M28" i="27"/>
  <c r="L28" i="27"/>
  <c r="G28" i="27"/>
  <c r="N26" i="27"/>
  <c r="M26" i="27"/>
  <c r="L26" i="27"/>
  <c r="G26" i="27"/>
  <c r="N14" i="27"/>
  <c r="M14" i="27"/>
  <c r="L14" i="27"/>
  <c r="G14" i="27"/>
  <c r="N20" i="27"/>
  <c r="M20" i="27"/>
  <c r="L20" i="27"/>
  <c r="G20" i="27"/>
  <c r="N19" i="27"/>
  <c r="M19" i="27"/>
  <c r="L19" i="27"/>
  <c r="G19" i="27"/>
  <c r="N23" i="27"/>
  <c r="M23" i="27"/>
  <c r="L23" i="27"/>
  <c r="G23" i="27"/>
  <c r="N7" i="27"/>
  <c r="M7" i="27"/>
  <c r="L7" i="27"/>
  <c r="G7" i="27"/>
  <c r="N29" i="27"/>
  <c r="M29" i="27"/>
  <c r="L29" i="27"/>
  <c r="G29" i="27"/>
  <c r="N9" i="27"/>
  <c r="M9" i="27"/>
  <c r="L9" i="27"/>
  <c r="G9" i="27"/>
  <c r="N25" i="27"/>
  <c r="M25" i="27"/>
  <c r="L25" i="27"/>
  <c r="G25" i="27"/>
  <c r="N17" i="27"/>
  <c r="M17" i="27"/>
  <c r="L17" i="27"/>
  <c r="G17" i="27"/>
  <c r="N13" i="27"/>
  <c r="M13" i="27"/>
  <c r="L13" i="27"/>
  <c r="G13" i="27"/>
  <c r="N22" i="27"/>
  <c r="M22" i="27"/>
  <c r="L22" i="27"/>
  <c r="G22" i="27"/>
  <c r="N15" i="27"/>
  <c r="M15" i="27"/>
  <c r="L15" i="27"/>
  <c r="G15" i="27"/>
  <c r="N6" i="27"/>
  <c r="M6" i="27"/>
  <c r="L6" i="27"/>
  <c r="G6" i="27"/>
  <c r="N8" i="27"/>
  <c r="M8" i="27"/>
  <c r="L8" i="27"/>
  <c r="G8" i="27"/>
  <c r="N12" i="27"/>
  <c r="M12" i="27"/>
  <c r="L12" i="27"/>
  <c r="G12" i="27"/>
  <c r="N18" i="27"/>
  <c r="M18" i="27"/>
  <c r="L18" i="27"/>
  <c r="G18" i="27"/>
  <c r="N10" i="27"/>
  <c r="M10" i="27"/>
  <c r="L10" i="27"/>
  <c r="G10" i="27"/>
  <c r="N16" i="27"/>
  <c r="M16" i="27"/>
  <c r="L16" i="27"/>
  <c r="G16" i="27"/>
  <c r="N11" i="27"/>
  <c r="M11" i="27"/>
  <c r="L11" i="27"/>
  <c r="G11" i="27"/>
  <c r="P5" i="27"/>
  <c r="N5" i="27"/>
  <c r="M5" i="27"/>
  <c r="L5" i="27"/>
  <c r="G5" i="27"/>
  <c r="C37" i="5" l="1"/>
  <c r="C23" i="5"/>
  <c r="C18" i="5"/>
  <c r="C14" i="5"/>
  <c r="C13" i="5"/>
  <c r="C32" i="5"/>
  <c r="C24" i="5"/>
  <c r="C19" i="5"/>
  <c r="N41" i="5"/>
  <c r="N25" i="5"/>
  <c r="C40" i="27"/>
  <c r="O18" i="27"/>
  <c r="O32" i="27"/>
  <c r="H33" i="28"/>
  <c r="N30" i="28"/>
  <c r="N35" i="5"/>
  <c r="N37" i="27"/>
  <c r="C59" i="26"/>
  <c r="C31" i="8"/>
  <c r="M79" i="5" s="1"/>
  <c r="C36" i="11"/>
  <c r="C60" i="26"/>
  <c r="O6" i="28"/>
  <c r="O5" i="28"/>
  <c r="O11" i="28"/>
  <c r="O18" i="28"/>
  <c r="O9" i="28"/>
  <c r="O19" i="28"/>
  <c r="O26" i="28"/>
  <c r="O12" i="28"/>
  <c r="O10" i="28"/>
  <c r="O8" i="28"/>
  <c r="O21" i="28"/>
  <c r="O24" i="28"/>
  <c r="O23" i="28"/>
  <c r="O22" i="28"/>
  <c r="C37" i="11"/>
  <c r="O14" i="27"/>
  <c r="C39" i="27"/>
  <c r="O13" i="28"/>
  <c r="O7" i="28"/>
  <c r="O25" i="28"/>
  <c r="C30" i="8"/>
  <c r="M78" i="5" s="1"/>
  <c r="N36" i="27"/>
  <c r="C36" i="12"/>
  <c r="C34" i="28"/>
  <c r="C35" i="12"/>
  <c r="N31" i="28"/>
  <c r="O16" i="28"/>
  <c r="O15" i="28"/>
  <c r="O14" i="28"/>
  <c r="O20" i="28"/>
  <c r="O17" i="28"/>
  <c r="H34" i="28"/>
  <c r="C39" i="24"/>
  <c r="J79" i="5" s="1"/>
  <c r="C38" i="24"/>
  <c r="J78" i="5" s="1"/>
  <c r="H39" i="27"/>
  <c r="H40" i="27"/>
  <c r="O23" i="27"/>
  <c r="O20" i="27"/>
  <c r="O33" i="27"/>
  <c r="O5" i="27"/>
  <c r="O10" i="27"/>
  <c r="O12" i="27"/>
  <c r="O6" i="27"/>
  <c r="O17" i="27"/>
  <c r="O9" i="27"/>
  <c r="O26" i="27"/>
  <c r="O27" i="27"/>
  <c r="O30" i="27"/>
  <c r="O31" i="27"/>
  <c r="O7" i="27"/>
  <c r="O19" i="27"/>
  <c r="O16" i="27"/>
  <c r="O8" i="27"/>
  <c r="O15" i="27"/>
  <c r="O13" i="27"/>
  <c r="O25" i="27"/>
  <c r="O28" i="27"/>
  <c r="O24" i="27"/>
  <c r="O21" i="27"/>
  <c r="O29" i="27"/>
  <c r="O22" i="27"/>
  <c r="O11" i="27"/>
  <c r="N34" i="28" l="1"/>
  <c r="N32" i="28"/>
  <c r="N40" i="27"/>
  <c r="N38" i="27"/>
  <c r="N39" i="27" s="1"/>
  <c r="N33" i="28" l="1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3" i="24"/>
  <c r="G14" i="24"/>
  <c r="G12" i="24"/>
  <c r="G11" i="24"/>
  <c r="G10" i="24"/>
  <c r="G9" i="24"/>
  <c r="N27" i="5" s="1"/>
  <c r="G8" i="24"/>
  <c r="G7" i="24"/>
  <c r="N29" i="5" s="1"/>
  <c r="G6" i="24"/>
  <c r="G5" i="24"/>
  <c r="G4" i="24"/>
  <c r="N16" i="5" s="1"/>
  <c r="L47" i="23"/>
  <c r="L12" i="23"/>
  <c r="C38" i="5" s="1"/>
  <c r="L28" i="23"/>
  <c r="C42" i="9"/>
  <c r="L16" i="23"/>
  <c r="L19" i="23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5" i="9"/>
  <c r="D77" i="5"/>
  <c r="D75" i="5"/>
  <c r="G4" i="1"/>
  <c r="G5" i="1"/>
  <c r="H4" i="1"/>
  <c r="N26" i="5"/>
  <c r="C33" i="5" l="1"/>
  <c r="C52" i="5"/>
  <c r="C7" i="5"/>
  <c r="C31" i="5"/>
  <c r="C10" i="5"/>
  <c r="N9" i="5"/>
  <c r="N22" i="5"/>
  <c r="N10" i="5"/>
  <c r="N48" i="5"/>
  <c r="N13" i="5"/>
  <c r="N12" i="5"/>
  <c r="N28" i="5"/>
  <c r="N20" i="5"/>
  <c r="N39" i="5"/>
  <c r="N24" i="5"/>
  <c r="L27" i="23"/>
  <c r="L61" i="23"/>
  <c r="L52" i="23"/>
  <c r="L60" i="23"/>
  <c r="L59" i="23"/>
  <c r="L56" i="23"/>
  <c r="L53" i="23"/>
  <c r="L29" i="23"/>
  <c r="C26" i="5" s="1"/>
  <c r="L26" i="23"/>
  <c r="L23" i="23"/>
  <c r="L40" i="23"/>
  <c r="L55" i="23"/>
  <c r="L31" i="23"/>
  <c r="C30" i="5" s="1"/>
  <c r="L43" i="23"/>
  <c r="L54" i="23"/>
  <c r="L44" i="23"/>
  <c r="L50" i="23"/>
  <c r="L46" i="23"/>
  <c r="L32" i="23"/>
  <c r="C34" i="5" s="1"/>
  <c r="L48" i="23"/>
  <c r="L45" i="23"/>
  <c r="L6" i="23"/>
  <c r="C17" i="5" s="1"/>
  <c r="L4" i="23"/>
  <c r="C4" i="5" s="1"/>
  <c r="N8" i="5"/>
  <c r="L25" i="23"/>
  <c r="L22" i="23"/>
  <c r="C29" i="5" s="1"/>
  <c r="L13" i="23"/>
  <c r="L35" i="23"/>
  <c r="C44" i="5" s="1"/>
  <c r="L42" i="23"/>
  <c r="L9" i="23"/>
  <c r="L18" i="23"/>
  <c r="C6" i="5" s="1"/>
  <c r="L49" i="23"/>
  <c r="C44" i="1"/>
  <c r="D79" i="5" s="1"/>
  <c r="D76" i="5"/>
  <c r="C43" i="1"/>
  <c r="D78" i="5" s="1"/>
  <c r="C43" i="9"/>
  <c r="C47" i="10"/>
  <c r="C46" i="10"/>
  <c r="C39" i="5" l="1"/>
  <c r="C43" i="5"/>
  <c r="C57" i="5"/>
  <c r="C15" i="5"/>
  <c r="C42" i="5"/>
  <c r="C22" i="5"/>
  <c r="C20" i="5"/>
  <c r="C27" i="5"/>
  <c r="C28" i="5"/>
  <c r="C12" i="5"/>
  <c r="C35" i="5"/>
  <c r="C36" i="5"/>
  <c r="C16" i="5"/>
  <c r="C8" i="5"/>
  <c r="N36" i="5"/>
  <c r="N7" i="5" l="1"/>
  <c r="N14" i="5" l="1"/>
  <c r="N31" i="5"/>
  <c r="N19" i="5" l="1"/>
  <c r="A11" i="6"/>
  <c r="A30" i="6" l="1"/>
  <c r="A8" i="6"/>
  <c r="A46" i="6"/>
  <c r="A7" i="6"/>
  <c r="A22" i="6"/>
  <c r="A51" i="6"/>
  <c r="A49" i="6"/>
  <c r="A53" i="6"/>
  <c r="A52" i="6"/>
  <c r="A50" i="6"/>
  <c r="A48" i="6"/>
  <c r="A47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29" i="6"/>
  <c r="A28" i="6"/>
  <c r="A27" i="6"/>
  <c r="A26" i="6"/>
  <c r="A25" i="6"/>
  <c r="A24" i="6"/>
  <c r="A23" i="6"/>
  <c r="A21" i="6"/>
  <c r="A20" i="6"/>
  <c r="A19" i="6"/>
  <c r="A18" i="6"/>
  <c r="A17" i="6"/>
  <c r="A16" i="6"/>
  <c r="A15" i="6"/>
  <c r="A14" i="6"/>
  <c r="A13" i="6"/>
  <c r="A12" i="6"/>
  <c r="A10" i="6"/>
  <c r="A9" i="6"/>
  <c r="A6" i="6"/>
  <c r="A5" i="6"/>
  <c r="A4" i="6"/>
  <c r="A3" i="6"/>
  <c r="A2" i="6"/>
  <c r="N15" i="5" l="1"/>
  <c r="N5" i="5"/>
  <c r="N34" i="5"/>
  <c r="N23" i="5" l="1"/>
  <c r="N32" i="5"/>
  <c r="N4" i="5" l="1"/>
  <c r="N11" i="5"/>
  <c r="N18" i="5" l="1"/>
  <c r="N17" i="5"/>
  <c r="N49" i="5" l="1"/>
  <c r="N43" i="5"/>
  <c r="N33" i="5" l="1"/>
  <c r="N21" i="5" l="1"/>
  <c r="N42" i="5"/>
  <c r="N47" i="5" l="1"/>
  <c r="N6" i="5" l="1"/>
  <c r="N37" i="5" l="1"/>
  <c r="N30" i="5"/>
</calcChain>
</file>

<file path=xl/comments1.xml><?xml version="1.0" encoding="utf-8"?>
<comments xmlns="http://schemas.openxmlformats.org/spreadsheetml/2006/main">
  <authors>
    <author>Jeff Carpenter</author>
  </authors>
  <commentList>
    <comment ref="H25" authorId="0">
      <text>
        <r>
          <rPr>
            <b/>
            <sz val="9"/>
            <color indexed="81"/>
            <rFont val="Tahoma"/>
            <family val="2"/>
          </rPr>
          <t>Jeff Carpenter:</t>
        </r>
        <r>
          <rPr>
            <sz val="9"/>
            <color indexed="81"/>
            <rFont val="Tahoma"/>
            <family val="2"/>
          </rPr>
          <t xml:space="preserve">
Per Cole - Ryan test does not get his two Participation points.</t>
        </r>
      </text>
    </comment>
    <comment ref="H37" authorId="0">
      <text>
        <r>
          <rPr>
            <b/>
            <sz val="9"/>
            <color indexed="81"/>
            <rFont val="Tahoma"/>
            <family val="2"/>
          </rPr>
          <t>Jeff Carpenter:</t>
        </r>
        <r>
          <rPr>
            <sz val="9"/>
            <color indexed="81"/>
            <rFont val="Tahoma"/>
            <family val="2"/>
          </rPr>
          <t xml:space="preserve">
Per Cole - Josh buller get's 0 points late to sign up and late for weigh-in DQ</t>
        </r>
      </text>
    </comment>
  </commentList>
</comments>
</file>

<file path=xl/sharedStrings.xml><?xml version="1.0" encoding="utf-8"?>
<sst xmlns="http://schemas.openxmlformats.org/spreadsheetml/2006/main" count="1228" uniqueCount="272">
  <si>
    <t>WEIGHT</t>
  </si>
  <si>
    <t>TOTAL</t>
  </si>
  <si>
    <t>Byrd</t>
  </si>
  <si>
    <t>Ed</t>
  </si>
  <si>
    <t>Joe</t>
  </si>
  <si>
    <t>Chenowth</t>
  </si>
  <si>
    <t>Terry</t>
  </si>
  <si>
    <t>Collins</t>
  </si>
  <si>
    <t>Juan</t>
  </si>
  <si>
    <t>Jim</t>
  </si>
  <si>
    <t>Diosdado</t>
  </si>
  <si>
    <t>Cesar</t>
  </si>
  <si>
    <t>Gardner</t>
  </si>
  <si>
    <t>Greg</t>
  </si>
  <si>
    <t>Kenson</t>
  </si>
  <si>
    <t>Stu</t>
  </si>
  <si>
    <t>Dave</t>
  </si>
  <si>
    <t>Jeff</t>
  </si>
  <si>
    <t>Marr</t>
  </si>
  <si>
    <t>Frank</t>
  </si>
  <si>
    <t>Whitworth</t>
  </si>
  <si>
    <t>Skip</t>
  </si>
  <si>
    <t>Name</t>
  </si>
  <si>
    <t>Kreiser</t>
  </si>
  <si>
    <t>Randy</t>
  </si>
  <si>
    <t>POINTS</t>
  </si>
  <si>
    <t>Eisner</t>
  </si>
  <si>
    <t>Janice</t>
  </si>
  <si>
    <t>Lopez</t>
  </si>
  <si>
    <t>Inder</t>
  </si>
  <si>
    <t>Bud Brant</t>
  </si>
  <si>
    <t>Ed Byrd</t>
  </si>
  <si>
    <t>Terry Chenowth</t>
  </si>
  <si>
    <t>Greg Gardner</t>
  </si>
  <si>
    <t>Stu Kenson</t>
  </si>
  <si>
    <t>Inder Lopez</t>
  </si>
  <si>
    <t>Ron Overman</t>
  </si>
  <si>
    <t>Points</t>
  </si>
  <si>
    <t>Putney</t>
  </si>
  <si>
    <t>Jim Putney</t>
  </si>
  <si>
    <t>Ron</t>
  </si>
  <si>
    <t>Overman</t>
  </si>
  <si>
    <t>Bud</t>
  </si>
  <si>
    <t>Mike</t>
  </si>
  <si>
    <t>Brant</t>
  </si>
  <si>
    <t>Patrick</t>
  </si>
  <si>
    <t>Larry</t>
  </si>
  <si>
    <t>Ward</t>
  </si>
  <si>
    <t>Juan Collins</t>
  </si>
  <si>
    <t>Cesar Diosdado</t>
  </si>
  <si>
    <t>Adam East</t>
  </si>
  <si>
    <t>Janice Eisner</t>
  </si>
  <si>
    <t>Randy Kreiser</t>
  </si>
  <si>
    <t>Ed Marr</t>
  </si>
  <si>
    <t>Larry Ward</t>
  </si>
  <si>
    <t>Skip Whitworth</t>
  </si>
  <si>
    <t>Zoé Gardner</t>
  </si>
  <si>
    <t>Zoé</t>
  </si>
  <si>
    <t>EL CAPITAN</t>
  </si>
  <si>
    <t>Keith Cloward</t>
  </si>
  <si>
    <t>Cloward</t>
  </si>
  <si>
    <t>Buck Billock</t>
  </si>
  <si>
    <t>Billock</t>
  </si>
  <si>
    <t>Buck</t>
  </si>
  <si>
    <t>Keith</t>
  </si>
  <si>
    <t>Scott</t>
  </si>
  <si>
    <t>Ashley</t>
  </si>
  <si>
    <t>Scott Ashley</t>
  </si>
  <si>
    <t>Baird</t>
  </si>
  <si>
    <t>Mike Baird</t>
  </si>
  <si>
    <t>Brent</t>
  </si>
  <si>
    <t>Benish</t>
  </si>
  <si>
    <t>Brent Benish</t>
  </si>
  <si>
    <t>Josh</t>
  </si>
  <si>
    <t>Buller</t>
  </si>
  <si>
    <t>Josh Buller</t>
  </si>
  <si>
    <t>Carpenter</t>
  </si>
  <si>
    <t>Jeff Carpenter</t>
  </si>
  <si>
    <t>Lupo</t>
  </si>
  <si>
    <t>Mike Lupo</t>
  </si>
  <si>
    <t>Neugebauer</t>
  </si>
  <si>
    <t>Frank Neugebauer</t>
  </si>
  <si>
    <t>Ryan</t>
  </si>
  <si>
    <t>Test</t>
  </si>
  <si>
    <t>Ryan Test</t>
  </si>
  <si>
    <t>Number of Participants:</t>
  </si>
  <si>
    <t>Total Number of Fish Caught:</t>
  </si>
  <si>
    <t>Total Weight of Fish Caught:</t>
  </si>
  <si>
    <t>Average Fish Weight:</t>
  </si>
  <si>
    <t xml:space="preserve">Average Number of Fish per Person: </t>
  </si>
  <si>
    <t>YEAR</t>
  </si>
  <si>
    <t>Steve</t>
  </si>
  <si>
    <t>Hale</t>
  </si>
  <si>
    <t>Sonny Hale</t>
  </si>
  <si>
    <t xml:space="preserve">Average Number of Fish per Person per Day: </t>
  </si>
  <si>
    <t>Sonny</t>
  </si>
  <si>
    <t>Seaberg</t>
  </si>
  <si>
    <t>Dave Seaberg</t>
  </si>
  <si>
    <t>Regina Seaberg</t>
  </si>
  <si>
    <t>Joe DeSalvo</t>
  </si>
  <si>
    <t>Nick Meyer</t>
  </si>
  <si>
    <t>Cody Billock</t>
  </si>
  <si>
    <t>Terry Foreman</t>
  </si>
  <si>
    <t xml:space="preserve"> </t>
  </si>
  <si>
    <t>Gene Estabrook</t>
  </si>
  <si>
    <t>Curtis Arneman</t>
  </si>
  <si>
    <t>TOURNAMENT OF CHAMPIONS</t>
  </si>
  <si>
    <t>Curtis</t>
  </si>
  <si>
    <t>Arneman</t>
  </si>
  <si>
    <t>DeSalvo</t>
  </si>
  <si>
    <t>Gene</t>
  </si>
  <si>
    <t>Estabrook</t>
  </si>
  <si>
    <t>Ken Louis</t>
  </si>
  <si>
    <t>Nick</t>
  </si>
  <si>
    <t>Meyer</t>
  </si>
  <si>
    <t>Steve Swaggerty</t>
  </si>
  <si>
    <t>Swaggerty</t>
  </si>
  <si>
    <t>Cody</t>
  </si>
  <si>
    <t>Bart</t>
  </si>
  <si>
    <t>Hegeler</t>
  </si>
  <si>
    <t>Ernie</t>
  </si>
  <si>
    <t>Guillen</t>
  </si>
  <si>
    <t>Ernie Guillen</t>
  </si>
  <si>
    <t>Bart Hegeler</t>
  </si>
  <si>
    <t>Foreman</t>
  </si>
  <si>
    <t>FISHING?  (Y/N)</t>
  </si>
  <si>
    <t>Y</t>
  </si>
  <si>
    <t>COPY COL A THEN SORT BY COL E</t>
  </si>
  <si>
    <t>FISHERS LANDING</t>
  </si>
  <si>
    <t>Bobby Foreman</t>
  </si>
  <si>
    <t>James Bogin</t>
  </si>
  <si>
    <t>James</t>
  </si>
  <si>
    <t>Bogin</t>
  </si>
  <si>
    <t>Bobby</t>
  </si>
  <si>
    <t>Jim Robinson</t>
  </si>
  <si>
    <t>Sean Swales</t>
  </si>
  <si>
    <t>Sean</t>
  </si>
  <si>
    <t>Swales</t>
  </si>
  <si>
    <t>Brent Kearney</t>
  </si>
  <si>
    <t>Frank Morrin</t>
  </si>
  <si>
    <t>Micah Spence</t>
  </si>
  <si>
    <t>Jim Sleight</t>
  </si>
  <si>
    <t>Adam</t>
  </si>
  <si>
    <t>East</t>
  </si>
  <si>
    <t>Boomer</t>
  </si>
  <si>
    <t>Glasner</t>
  </si>
  <si>
    <t>Kearney</t>
  </si>
  <si>
    <t>Ken</t>
  </si>
  <si>
    <t>Louis</t>
  </si>
  <si>
    <t>Morrin</t>
  </si>
  <si>
    <t>Robinson</t>
  </si>
  <si>
    <t>Sleight</t>
  </si>
  <si>
    <t>Micah</t>
  </si>
  <si>
    <t>Spence</t>
  </si>
  <si>
    <t>Gina</t>
  </si>
  <si>
    <t>Barton</t>
  </si>
  <si>
    <t>Barton Hegeler</t>
  </si>
  <si>
    <t>Cheryl Byrd</t>
  </si>
  <si>
    <t>At Large</t>
  </si>
  <si>
    <t>David Patrick</t>
  </si>
  <si>
    <t>n</t>
  </si>
  <si>
    <t>Cheryl</t>
  </si>
  <si>
    <t>Boomer Glasner</t>
  </si>
  <si>
    <t>Jeff Manning</t>
  </si>
  <si>
    <t>Vicki Becker</t>
  </si>
  <si>
    <t>Dave Patrick</t>
  </si>
  <si>
    <t>Gina Seaberg</t>
  </si>
  <si>
    <t>x</t>
  </si>
  <si>
    <t>Cole Wright</t>
  </si>
  <si>
    <t>Dave Mack</t>
  </si>
  <si>
    <t>John Williamson</t>
  </si>
  <si>
    <t>Lynn Brown</t>
  </si>
  <si>
    <t>Penalty</t>
  </si>
  <si>
    <t>James Beyroutey</t>
  </si>
  <si>
    <t>Big Fish</t>
  </si>
  <si>
    <t>Place</t>
  </si>
  <si>
    <t>Justin Chandler</t>
  </si>
  <si>
    <t>Number of Participants</t>
  </si>
  <si>
    <t>OTAY</t>
  </si>
  <si>
    <t>Dave Waller</t>
  </si>
  <si>
    <t>Brian Goodell</t>
  </si>
  <si>
    <t>Jim Beyrouty</t>
  </si>
  <si>
    <t>Jesse McNett</t>
  </si>
  <si>
    <t>Jesse</t>
  </si>
  <si>
    <t>McNett</t>
  </si>
  <si>
    <t>David</t>
  </si>
  <si>
    <t>Beyroutey</t>
  </si>
  <si>
    <t>Cole</t>
  </si>
  <si>
    <t>Wright</t>
  </si>
  <si>
    <t>Waller</t>
  </si>
  <si>
    <t>Regina</t>
  </si>
  <si>
    <t>Vicki</t>
  </si>
  <si>
    <t>Becker</t>
  </si>
  <si>
    <t>Mack</t>
  </si>
  <si>
    <t>Brian</t>
  </si>
  <si>
    <t>Goodell</t>
  </si>
  <si>
    <t>John</t>
  </si>
  <si>
    <t>Williamson</t>
  </si>
  <si>
    <t>Beyrouty</t>
  </si>
  <si>
    <t>Justin</t>
  </si>
  <si>
    <t>Chandler</t>
  </si>
  <si>
    <t>Lynn</t>
  </si>
  <si>
    <t>Brown</t>
  </si>
  <si>
    <t>deSalvo</t>
  </si>
  <si>
    <t>Number of Fish</t>
  </si>
  <si>
    <t>Total Weight</t>
  </si>
  <si>
    <t>Net Weight</t>
  </si>
  <si>
    <t>Total Points</t>
  </si>
  <si>
    <t>Otay</t>
  </si>
  <si>
    <t>El Cap</t>
  </si>
  <si>
    <t>Big Fish2</t>
  </si>
  <si>
    <t>Total Weight2</t>
  </si>
  <si>
    <t>FISH COUNT</t>
  </si>
  <si>
    <t>Number of Fish2</t>
  </si>
  <si>
    <t>BIGGEST FISH</t>
  </si>
  <si>
    <t>Net Weight2</t>
  </si>
  <si>
    <t>Penalty2</t>
  </si>
  <si>
    <t>Day 1</t>
  </si>
  <si>
    <t>Day 2</t>
  </si>
  <si>
    <t>Biggest</t>
  </si>
  <si>
    <t>Angler</t>
  </si>
  <si>
    <t>Dina Ammsso</t>
  </si>
  <si>
    <t>Marshall Martin</t>
  </si>
  <si>
    <t>Brandon Kuehl</t>
  </si>
  <si>
    <t>Bruce Smith</t>
  </si>
  <si>
    <t>JUNE 9, 2019</t>
  </si>
  <si>
    <t>William Larson</t>
  </si>
  <si>
    <t>Michael Lupo</t>
  </si>
  <si>
    <t>Jim Davis</t>
  </si>
  <si>
    <t>Greg Vasquez</t>
  </si>
  <si>
    <t>El Cap 2</t>
  </si>
  <si>
    <t>San V Night</t>
  </si>
  <si>
    <t>Duane Johnson</t>
  </si>
  <si>
    <t>Ryan Kuiper</t>
  </si>
  <si>
    <t>Buzz Brizendine</t>
  </si>
  <si>
    <t>James Chase</t>
  </si>
  <si>
    <t>Brent Kearny</t>
  </si>
  <si>
    <t>Otay Lake</t>
  </si>
  <si>
    <t>Patrick Farrier</t>
  </si>
  <si>
    <t>Tim Kidwell</t>
  </si>
  <si>
    <t>Year to Date Standings</t>
  </si>
  <si>
    <t>Lake Mohave</t>
  </si>
  <si>
    <t>Havasu</t>
  </si>
  <si>
    <t>March 19th-20th</t>
  </si>
  <si>
    <t>April 17th</t>
  </si>
  <si>
    <t>May 7th-8th</t>
  </si>
  <si>
    <t>February 27, 2021</t>
  </si>
  <si>
    <t>June 19th</t>
  </si>
  <si>
    <t>July 23rd</t>
  </si>
  <si>
    <t>August 21st</t>
  </si>
  <si>
    <t>September 11th</t>
  </si>
  <si>
    <t xml:space="preserve">October 1st-2nd </t>
  </si>
  <si>
    <t>November 6th</t>
  </si>
  <si>
    <t>TBD</t>
  </si>
  <si>
    <t>San V</t>
  </si>
  <si>
    <t>El Cap Night</t>
  </si>
  <si>
    <t>San V NIGHT</t>
  </si>
  <si>
    <t>2021</t>
  </si>
  <si>
    <t>Mohave</t>
  </si>
  <si>
    <t>Otay 2</t>
  </si>
  <si>
    <t>El Cap 1</t>
  </si>
  <si>
    <t>LCR</t>
  </si>
  <si>
    <t>DQ</t>
  </si>
  <si>
    <t>John Taylor</t>
  </si>
  <si>
    <t xml:space="preserve">Big Fish Out of Tournament:  </t>
  </si>
  <si>
    <t>Joe Desalvo</t>
  </si>
  <si>
    <t>Roy Andrews</t>
  </si>
  <si>
    <t>Lee Jerry</t>
  </si>
  <si>
    <t>John taylor</t>
  </si>
  <si>
    <t>Antony Meyer</t>
  </si>
  <si>
    <t>Big Stringer in Tournament: Bruce Smith 23.98 lbs. El Capitan</t>
  </si>
  <si>
    <t>Big Fish in Tournament:  Bruce Smith 10.21 lbs.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</si>
</sst>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[$-409]mmmm\ d\,\ yyyy;@"/>
    <numFmt numFmtId="166" formatCode="0.0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0"/>
      <name val="Arial Black"/>
      <family val="2"/>
    </font>
    <font>
      <sz val="10"/>
      <color indexed="9"/>
      <name val="Arial"/>
      <family val="2"/>
    </font>
    <font>
      <b/>
      <u/>
      <sz val="12"/>
      <color indexed="9"/>
      <name val="Arial"/>
      <family val="2"/>
    </font>
    <font>
      <sz val="12"/>
      <color indexed="9"/>
      <name val="Arial"/>
      <family val="2"/>
    </font>
    <font>
      <sz val="16"/>
      <name val="Arial"/>
      <family val="2"/>
    </font>
    <font>
      <sz val="11"/>
      <color rgb="FF000000"/>
      <name val="Calibri"/>
      <family val="2"/>
      <scheme val="minor"/>
    </font>
    <font>
      <b/>
      <sz val="20"/>
      <color rgb="FFFFFF00"/>
      <name val="Arial Black"/>
      <family val="2"/>
    </font>
    <font>
      <b/>
      <sz val="16"/>
      <color rgb="FFFFFF00"/>
      <name val="Arial"/>
      <family val="2"/>
    </font>
    <font>
      <b/>
      <sz val="20"/>
      <color theme="0"/>
      <name val="Arial Black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b/>
      <u/>
      <sz val="12"/>
      <color theme="0"/>
      <name val="Arial"/>
      <family val="2"/>
    </font>
    <font>
      <b/>
      <sz val="26"/>
      <color theme="0"/>
      <name val="Arial Black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Cambria"/>
      <family val="1"/>
    </font>
    <font>
      <sz val="12"/>
      <color theme="1"/>
      <name val="Arial"/>
      <family val="2"/>
    </font>
    <font>
      <b/>
      <sz val="36"/>
      <color indexed="9"/>
      <name val="Wide Latin"/>
      <family val="1"/>
    </font>
    <font>
      <sz val="11"/>
      <color rgb="FF000000"/>
      <name val="Calibri"/>
      <family val="2"/>
    </font>
    <font>
      <b/>
      <sz val="26"/>
      <color theme="0"/>
      <name val="Cambria"/>
      <family val="1"/>
    </font>
    <font>
      <b/>
      <sz val="10"/>
      <color theme="0"/>
      <name val="Cambria"/>
      <family val="1"/>
    </font>
    <font>
      <b/>
      <sz val="14"/>
      <color theme="0"/>
      <name val="Cambria"/>
      <family val="1"/>
    </font>
    <font>
      <b/>
      <sz val="12"/>
      <color theme="0" tint="-4.9989318521683403E-2"/>
      <name val="Arial"/>
      <family val="2"/>
    </font>
    <font>
      <b/>
      <sz val="10"/>
      <color theme="0" tint="-4.9989318521683403E-2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3D2EFA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rgb="FF000000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ck">
        <color rgb="FFFFFFFF"/>
      </left>
      <right/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/>
      <top/>
      <bottom/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/>
      <top style="thick">
        <color rgb="FFFFFFFF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11">
    <xf numFmtId="0" fontId="0" fillId="0" borderId="0"/>
    <xf numFmtId="0" fontId="17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30" fillId="0" borderId="0"/>
  </cellStyleXfs>
  <cellXfs count="185">
    <xf numFmtId="0" fontId="0" fillId="0" borderId="0" xfId="0"/>
    <xf numFmtId="2" fontId="8" fillId="0" borderId="0" xfId="0" applyNumberFormat="1" applyFont="1" applyAlignment="1">
      <alignment horizontal="center"/>
    </xf>
    <xf numFmtId="0" fontId="8" fillId="0" borderId="0" xfId="0" applyFont="1"/>
    <xf numFmtId="0" fontId="8" fillId="0" borderId="0" xfId="0" applyFont="1" applyFill="1"/>
    <xf numFmtId="2" fontId="8" fillId="0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10" fillId="0" borderId="0" xfId="0" applyFont="1"/>
    <xf numFmtId="0" fontId="7" fillId="0" borderId="0" xfId="0" applyFont="1"/>
    <xf numFmtId="0" fontId="9" fillId="0" borderId="0" xfId="0" applyFont="1" applyAlignment="1"/>
    <xf numFmtId="1" fontId="9" fillId="0" borderId="0" xfId="0" applyNumberFormat="1" applyFont="1" applyAlignment="1">
      <alignment horizontal="center"/>
    </xf>
    <xf numFmtId="1" fontId="0" fillId="0" borderId="0" xfId="0" applyNumberFormat="1"/>
    <xf numFmtId="0" fontId="0" fillId="0" borderId="0" xfId="0" applyFill="1"/>
    <xf numFmtId="0" fontId="13" fillId="3" borderId="0" xfId="0" applyFont="1" applyFill="1"/>
    <xf numFmtId="0" fontId="14" fillId="3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2" fontId="15" fillId="3" borderId="0" xfId="0" applyNumberFormat="1" applyFont="1" applyFill="1" applyAlignment="1">
      <alignment horizontal="center"/>
    </xf>
    <xf numFmtId="1" fontId="15" fillId="3" borderId="0" xfId="0" applyNumberFormat="1" applyFont="1" applyFill="1" applyAlignment="1">
      <alignment horizontal="center"/>
    </xf>
    <xf numFmtId="1" fontId="14" fillId="3" borderId="0" xfId="0" applyNumberFormat="1" applyFont="1" applyFill="1" applyAlignment="1">
      <alignment horizontal="center"/>
    </xf>
    <xf numFmtId="2" fontId="0" fillId="0" borderId="0" xfId="0" applyNumberFormat="1"/>
    <xf numFmtId="2" fontId="14" fillId="3" borderId="0" xfId="0" applyNumberFormat="1" applyFont="1" applyFill="1" applyAlignment="1">
      <alignment horizontal="center"/>
    </xf>
    <xf numFmtId="0" fontId="0" fillId="0" borderId="0" xfId="0"/>
    <xf numFmtId="0" fontId="9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6" fillId="0" borderId="0" xfId="0" applyFont="1"/>
    <xf numFmtId="2" fontId="10" fillId="0" borderId="4" xfId="1" applyNumberFormat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2" fontId="10" fillId="0" borderId="0" xfId="1" applyNumberFormat="1" applyFont="1" applyFill="1" applyAlignment="1">
      <alignment horizontal="center" vertical="center"/>
    </xf>
    <xf numFmtId="1" fontId="10" fillId="0" borderId="0" xfId="1" applyNumberFormat="1" applyFont="1" applyFill="1" applyAlignment="1">
      <alignment horizontal="center" vertical="center"/>
    </xf>
    <xf numFmtId="2" fontId="10" fillId="0" borderId="0" xfId="1" applyNumberFormat="1" applyFont="1" applyFill="1" applyBorder="1" applyAlignment="1">
      <alignment horizontal="center" vertical="center"/>
    </xf>
    <xf numFmtId="1" fontId="9" fillId="5" borderId="0" xfId="0" applyNumberFormat="1" applyFont="1" applyFill="1" applyAlignment="1">
      <alignment horizontal="center"/>
    </xf>
    <xf numFmtId="2" fontId="9" fillId="5" borderId="0" xfId="0" applyNumberFormat="1" applyFont="1" applyFill="1" applyAlignment="1">
      <alignment horizontal="center"/>
    </xf>
    <xf numFmtId="0" fontId="25" fillId="8" borderId="1" xfId="0" applyFont="1" applyFill="1" applyBorder="1" applyAlignment="1">
      <alignment horizontal="center"/>
    </xf>
    <xf numFmtId="0" fontId="25" fillId="8" borderId="2" xfId="0" applyFont="1" applyFill="1" applyBorder="1" applyAlignment="1">
      <alignment horizontal="center"/>
    </xf>
    <xf numFmtId="0" fontId="25" fillId="8" borderId="3" xfId="0" applyFont="1" applyFill="1" applyBorder="1" applyAlignment="1">
      <alignment horizontal="center"/>
    </xf>
    <xf numFmtId="0" fontId="25" fillId="8" borderId="5" xfId="0" applyFont="1" applyFill="1" applyBorder="1" applyAlignment="1">
      <alignment horizontal="center"/>
    </xf>
    <xf numFmtId="0" fontId="28" fillId="0" borderId="0" xfId="5" applyFont="1" applyFill="1" applyAlignment="1">
      <alignment horizontal="center"/>
    </xf>
    <xf numFmtId="0" fontId="28" fillId="0" borderId="0" xfId="5" applyFont="1" applyFill="1"/>
    <xf numFmtId="2" fontId="7" fillId="5" borderId="0" xfId="0" applyNumberFormat="1" applyFont="1" applyFill="1" applyAlignment="1">
      <alignment horizontal="center"/>
    </xf>
    <xf numFmtId="1" fontId="7" fillId="5" borderId="0" xfId="0" applyNumberFormat="1" applyFont="1" applyFill="1" applyAlignment="1">
      <alignment horizontal="center"/>
    </xf>
    <xf numFmtId="164" fontId="9" fillId="5" borderId="0" xfId="0" applyNumberFormat="1" applyFont="1" applyFill="1" applyAlignment="1">
      <alignment horizontal="center"/>
    </xf>
    <xf numFmtId="0" fontId="9" fillId="0" borderId="0" xfId="0" applyFont="1"/>
    <xf numFmtId="2" fontId="9" fillId="0" borderId="0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1" fontId="9" fillId="0" borderId="0" xfId="1" applyNumberFormat="1" applyFont="1" applyFill="1" applyBorder="1" applyAlignment="1">
      <alignment horizontal="center" vertical="center"/>
    </xf>
    <xf numFmtId="2" fontId="15" fillId="3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" fontId="8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49" fontId="32" fillId="7" borderId="0" xfId="0" applyNumberFormat="1" applyFont="1" applyFill="1" applyBorder="1" applyAlignment="1">
      <alignment horizontal="center" vertical="center"/>
    </xf>
    <xf numFmtId="0" fontId="32" fillId="7" borderId="0" xfId="0" applyFont="1" applyFill="1" applyBorder="1" applyAlignment="1">
      <alignment horizontal="center"/>
    </xf>
    <xf numFmtId="49" fontId="33" fillId="7" borderId="10" xfId="0" applyNumberFormat="1" applyFont="1" applyFill="1" applyBorder="1" applyAlignment="1">
      <alignment horizontal="center" vertical="center"/>
    </xf>
    <xf numFmtId="49" fontId="32" fillId="7" borderId="10" xfId="0" applyNumberFormat="1" applyFont="1" applyFill="1" applyBorder="1" applyAlignment="1">
      <alignment horizontal="center" vertical="center"/>
    </xf>
    <xf numFmtId="2" fontId="9" fillId="0" borderId="10" xfId="1" applyNumberFormat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/>
    </xf>
    <xf numFmtId="0" fontId="34" fillId="8" borderId="0" xfId="0" applyFont="1" applyFill="1" applyAlignment="1">
      <alignment horizontal="left"/>
    </xf>
    <xf numFmtId="0" fontId="35" fillId="7" borderId="0" xfId="0" applyFont="1" applyFill="1"/>
    <xf numFmtId="0" fontId="34" fillId="8" borderId="0" xfId="0" applyFont="1" applyFill="1" applyAlignment="1">
      <alignment horizontal="center"/>
    </xf>
    <xf numFmtId="1" fontId="34" fillId="8" borderId="0" xfId="0" applyNumberFormat="1" applyFont="1" applyFill="1" applyAlignment="1">
      <alignment horizontal="center"/>
    </xf>
    <xf numFmtId="2" fontId="34" fillId="8" borderId="0" xfId="0" applyNumberFormat="1" applyFont="1" applyFill="1" applyAlignment="1">
      <alignment horizontal="center"/>
    </xf>
    <xf numFmtId="2" fontId="34" fillId="8" borderId="0" xfId="0" applyNumberFormat="1" applyFont="1" applyFill="1" applyAlignment="1">
      <alignment horizontal="left"/>
    </xf>
    <xf numFmtId="0" fontId="22" fillId="7" borderId="0" xfId="0" applyFont="1" applyFill="1" applyAlignment="1">
      <alignment horizontal="center"/>
    </xf>
    <xf numFmtId="2" fontId="23" fillId="7" borderId="0" xfId="0" applyNumberFormat="1" applyFont="1" applyFill="1" applyAlignment="1">
      <alignment horizontal="center"/>
    </xf>
    <xf numFmtId="0" fontId="23" fillId="7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9" fillId="0" borderId="0" xfId="3" applyFont="1" applyFill="1" applyAlignment="1">
      <alignment horizontal="center"/>
    </xf>
    <xf numFmtId="0" fontId="32" fillId="7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11" xfId="0" applyFont="1" applyBorder="1"/>
    <xf numFmtId="0" fontId="8" fillId="0" borderId="11" xfId="0" applyFont="1" applyFill="1" applyBorder="1" applyAlignment="1">
      <alignment horizontal="left"/>
    </xf>
    <xf numFmtId="49" fontId="33" fillId="7" borderId="0" xfId="0" applyNumberFormat="1" applyFont="1" applyFill="1" applyBorder="1" applyAlignment="1">
      <alignment horizontal="center" vertical="center"/>
    </xf>
    <xf numFmtId="1" fontId="10" fillId="0" borderId="4" xfId="1" applyNumberFormat="1" applyFont="1" applyFill="1" applyBorder="1" applyAlignment="1">
      <alignment horizontal="center" vertical="center"/>
    </xf>
    <xf numFmtId="1" fontId="10" fillId="0" borderId="0" xfId="1" applyNumberFormat="1" applyFont="1" applyFill="1" applyBorder="1" applyAlignment="1">
      <alignment horizontal="center" vertical="center"/>
    </xf>
    <xf numFmtId="0" fontId="36" fillId="0" borderId="0" xfId="0" applyFont="1"/>
    <xf numFmtId="0" fontId="23" fillId="2" borderId="12" xfId="0" applyFont="1" applyFill="1" applyBorder="1" applyAlignment="1">
      <alignment horizontal="center"/>
    </xf>
    <xf numFmtId="1" fontId="28" fillId="10" borderId="12" xfId="0" applyNumberFormat="1" applyFont="1" applyFill="1" applyBorder="1" applyAlignment="1">
      <alignment horizontal="center"/>
    </xf>
    <xf numFmtId="1" fontId="28" fillId="10" borderId="13" xfId="0" applyNumberFormat="1" applyFont="1" applyFill="1" applyBorder="1" applyAlignment="1">
      <alignment horizontal="center"/>
    </xf>
    <xf numFmtId="2" fontId="28" fillId="10" borderId="13" xfId="0" applyNumberFormat="1" applyFont="1" applyFill="1" applyBorder="1" applyAlignment="1">
      <alignment horizontal="center"/>
    </xf>
    <xf numFmtId="1" fontId="28" fillId="0" borderId="12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"/>
    </xf>
    <xf numFmtId="2" fontId="28" fillId="0" borderId="13" xfId="0" applyNumberFormat="1" applyFont="1" applyBorder="1" applyAlignment="1">
      <alignment horizontal="center"/>
    </xf>
    <xf numFmtId="0" fontId="28" fillId="10" borderId="13" xfId="5" applyNumberFormat="1" applyFont="1" applyFill="1" applyBorder="1" applyAlignment="1">
      <alignment horizontal="center"/>
    </xf>
    <xf numFmtId="2" fontId="23" fillId="2" borderId="0" xfId="0" applyNumberFormat="1" applyFont="1" applyFill="1" applyBorder="1" applyAlignment="1">
      <alignment horizontal="center"/>
    </xf>
    <xf numFmtId="1" fontId="23" fillId="2" borderId="0" xfId="0" applyNumberFormat="1" applyFont="1" applyFill="1" applyBorder="1" applyAlignment="1">
      <alignment horizontal="center" wrapText="1"/>
    </xf>
    <xf numFmtId="2" fontId="23" fillId="2" borderId="0" xfId="0" applyNumberFormat="1" applyFont="1" applyFill="1" applyBorder="1" applyAlignment="1">
      <alignment horizontal="center" wrapText="1"/>
    </xf>
    <xf numFmtId="0" fontId="23" fillId="2" borderId="0" xfId="0" applyFont="1" applyFill="1" applyBorder="1" applyAlignment="1">
      <alignment horizontal="center" wrapText="1"/>
    </xf>
    <xf numFmtId="0" fontId="25" fillId="7" borderId="6" xfId="0" applyFont="1" applyFill="1" applyBorder="1" applyAlignment="1">
      <alignment horizontal="center"/>
    </xf>
    <xf numFmtId="0" fontId="25" fillId="7" borderId="5" xfId="0" applyFont="1" applyFill="1" applyBorder="1" applyAlignment="1">
      <alignment horizontal="center"/>
    </xf>
    <xf numFmtId="0" fontId="25" fillId="7" borderId="7" xfId="0" applyFont="1" applyFill="1" applyBorder="1" applyAlignment="1">
      <alignment horizontal="center"/>
    </xf>
    <xf numFmtId="0" fontId="25" fillId="7" borderId="8" xfId="0" applyFont="1" applyFill="1" applyBorder="1" applyAlignment="1">
      <alignment horizontal="center"/>
    </xf>
    <xf numFmtId="0" fontId="8" fillId="7" borderId="0" xfId="0" applyFont="1" applyFill="1"/>
    <xf numFmtId="1" fontId="9" fillId="0" borderId="10" xfId="1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8" fillId="0" borderId="0" xfId="0" applyFont="1" applyAlignment="1">
      <alignment horizontal="center" wrapText="1"/>
    </xf>
    <xf numFmtId="1" fontId="28" fillId="0" borderId="13" xfId="0" applyNumberFormat="1" applyFont="1" applyFill="1" applyBorder="1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center"/>
    </xf>
    <xf numFmtId="2" fontId="28" fillId="0" borderId="13" xfId="0" applyNumberFormat="1" applyFont="1" applyFill="1" applyBorder="1" applyAlignment="1">
      <alignment horizontal="center"/>
    </xf>
    <xf numFmtId="1" fontId="9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2" fontId="9" fillId="0" borderId="0" xfId="1" applyNumberFormat="1" applyFont="1" applyFill="1" applyAlignment="1">
      <alignment horizontal="center" vertical="center"/>
    </xf>
    <xf numFmtId="0" fontId="22" fillId="8" borderId="0" xfId="0" applyFont="1" applyFill="1" applyAlignment="1">
      <alignment horizontal="center"/>
    </xf>
    <xf numFmtId="0" fontId="22" fillId="8" borderId="0" xfId="0" applyFont="1" applyFill="1" applyAlignment="1">
      <alignment horizontal="left"/>
    </xf>
    <xf numFmtId="1" fontId="22" fillId="8" borderId="0" xfId="0" applyNumberFormat="1" applyFont="1" applyFill="1" applyAlignment="1">
      <alignment horizontal="center"/>
    </xf>
    <xf numFmtId="2" fontId="22" fillId="8" borderId="0" xfId="0" applyNumberFormat="1" applyFont="1" applyFill="1" applyAlignment="1">
      <alignment horizontal="center"/>
    </xf>
    <xf numFmtId="2" fontId="22" fillId="8" borderId="0" xfId="0" applyNumberFormat="1" applyFont="1" applyFill="1" applyAlignment="1">
      <alignment horizontal="left"/>
    </xf>
    <xf numFmtId="0" fontId="0" fillId="0" borderId="0" xfId="0" applyNumberFormat="1" applyAlignment="1">
      <alignment horizontal="center"/>
    </xf>
    <xf numFmtId="0" fontId="15" fillId="3" borderId="0" xfId="0" applyFont="1" applyFill="1" applyAlignment="1"/>
    <xf numFmtId="2" fontId="15" fillId="3" borderId="0" xfId="0" applyNumberFormat="1" applyFont="1" applyFill="1" applyAlignment="1"/>
    <xf numFmtId="0" fontId="9" fillId="0" borderId="0" xfId="0" applyNumberFormat="1" applyFont="1" applyFill="1" applyAlignment="1">
      <alignment horizontal="center"/>
    </xf>
    <xf numFmtId="0" fontId="28" fillId="0" borderId="13" xfId="5" applyNumberFormat="1" applyFont="1" applyFill="1" applyBorder="1" applyAlignment="1">
      <alignment horizontal="center"/>
    </xf>
    <xf numFmtId="0" fontId="8" fillId="0" borderId="0" xfId="0" applyFont="1" applyFill="1" applyBorder="1"/>
    <xf numFmtId="0" fontId="15" fillId="3" borderId="0" xfId="0" applyFont="1" applyFill="1" applyAlignment="1"/>
    <xf numFmtId="1" fontId="9" fillId="0" borderId="0" xfId="0" applyNumberFormat="1" applyFont="1" applyFill="1" applyBorder="1" applyAlignment="1">
      <alignment horizontal="center"/>
    </xf>
    <xf numFmtId="0" fontId="37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1" fontId="28" fillId="0" borderId="0" xfId="0" applyNumberFormat="1" applyFont="1" applyBorder="1" applyAlignment="1">
      <alignment horizontal="center"/>
    </xf>
    <xf numFmtId="1" fontId="38" fillId="0" borderId="13" xfId="0" applyNumberFormat="1" applyFont="1" applyFill="1" applyBorder="1" applyAlignment="1">
      <alignment horizontal="center"/>
    </xf>
    <xf numFmtId="2" fontId="38" fillId="0" borderId="13" xfId="0" applyNumberFormat="1" applyFont="1" applyFill="1" applyBorder="1" applyAlignment="1">
      <alignment horizontal="center"/>
    </xf>
    <xf numFmtId="2" fontId="39" fillId="0" borderId="4" xfId="1" applyNumberFormat="1" applyFont="1" applyFill="1" applyBorder="1" applyAlignment="1">
      <alignment horizontal="center" vertical="center"/>
    </xf>
    <xf numFmtId="1" fontId="39" fillId="0" borderId="4" xfId="1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wrapText="1"/>
    </xf>
    <xf numFmtId="1" fontId="37" fillId="0" borderId="0" xfId="1" applyNumberFormat="1" applyFont="1" applyFill="1" applyAlignment="1">
      <alignment horizontal="center" vertical="center"/>
    </xf>
    <xf numFmtId="0" fontId="37" fillId="0" borderId="0" xfId="1" applyFont="1" applyFill="1" applyAlignment="1">
      <alignment horizontal="center" vertical="center"/>
    </xf>
    <xf numFmtId="2" fontId="37" fillId="0" borderId="0" xfId="1" applyNumberFormat="1" applyFont="1" applyFill="1" applyAlignment="1">
      <alignment horizontal="center" vertical="center"/>
    </xf>
    <xf numFmtId="1" fontId="37" fillId="0" borderId="10" xfId="1" applyNumberFormat="1" applyFont="1" applyFill="1" applyBorder="1" applyAlignment="1">
      <alignment horizontal="center" vertical="center"/>
    </xf>
    <xf numFmtId="2" fontId="37" fillId="0" borderId="10" xfId="1" applyNumberFormat="1" applyFont="1" applyFill="1" applyBorder="1" applyAlignment="1">
      <alignment horizontal="center" vertical="center"/>
    </xf>
    <xf numFmtId="1" fontId="38" fillId="0" borderId="0" xfId="0" applyNumberFormat="1" applyFont="1" applyFill="1" applyBorder="1" applyAlignment="1">
      <alignment horizontal="center"/>
    </xf>
    <xf numFmtId="2" fontId="38" fillId="0" borderId="0" xfId="0" applyNumberFormat="1" applyFont="1" applyFill="1" applyBorder="1" applyAlignment="1">
      <alignment horizontal="center"/>
    </xf>
    <xf numFmtId="2" fontId="28" fillId="0" borderId="0" xfId="0" applyNumberFormat="1" applyFont="1" applyBorder="1" applyAlignment="1">
      <alignment horizontal="center"/>
    </xf>
    <xf numFmtId="0" fontId="37" fillId="0" borderId="10" xfId="1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9" fillId="0" borderId="13" xfId="0" applyNumberFormat="1" applyFont="1" applyFill="1" applyBorder="1" applyAlignment="1">
      <alignment horizontal="center"/>
    </xf>
    <xf numFmtId="0" fontId="34" fillId="8" borderId="0" xfId="0" applyFont="1" applyFill="1" applyAlignment="1">
      <alignment horizontal="left"/>
    </xf>
    <xf numFmtId="0" fontId="0" fillId="0" borderId="0" xfId="0" applyAlignment="1">
      <alignment horizontal="center"/>
    </xf>
    <xf numFmtId="49" fontId="33" fillId="7" borderId="0" xfId="0" applyNumberFormat="1" applyFont="1" applyFill="1" applyBorder="1" applyAlignment="1">
      <alignment horizontal="center" vertical="center"/>
    </xf>
    <xf numFmtId="0" fontId="38" fillId="0" borderId="0" xfId="5" applyFont="1" applyFill="1" applyAlignment="1">
      <alignment horizontal="center"/>
    </xf>
    <xf numFmtId="1" fontId="37" fillId="0" borderId="0" xfId="0" applyNumberFormat="1" applyFont="1" applyFill="1" applyAlignment="1">
      <alignment horizontal="center"/>
    </xf>
    <xf numFmtId="2" fontId="37" fillId="0" borderId="0" xfId="0" applyNumberFormat="1" applyFont="1" applyFill="1" applyAlignment="1">
      <alignment horizontal="center"/>
    </xf>
    <xf numFmtId="1" fontId="9" fillId="0" borderId="4" xfId="1" applyNumberFormat="1" applyFont="1" applyFill="1" applyBorder="1" applyAlignment="1">
      <alignment horizontal="center" vertical="center"/>
    </xf>
    <xf numFmtId="1" fontId="28" fillId="0" borderId="1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" fontId="28" fillId="10" borderId="14" xfId="0" applyNumberFormat="1" applyFont="1" applyFill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0" fontId="28" fillId="10" borderId="14" xfId="0" applyFont="1" applyFill="1" applyBorder="1" applyAlignment="1">
      <alignment horizontal="center"/>
    </xf>
    <xf numFmtId="166" fontId="15" fillId="3" borderId="0" xfId="0" applyNumberFormat="1" applyFont="1" applyFill="1" applyAlignment="1">
      <alignment horizontal="center"/>
    </xf>
    <xf numFmtId="0" fontId="9" fillId="5" borderId="0" xfId="0" applyFont="1" applyFill="1" applyAlignment="1">
      <alignment horizontal="left"/>
    </xf>
    <xf numFmtId="0" fontId="12" fillId="2" borderId="0" xfId="0" applyFont="1" applyFill="1" applyAlignment="1">
      <alignment horizontal="center"/>
    </xf>
    <xf numFmtId="15" fontId="11" fillId="2" borderId="0" xfId="0" quotePrefix="1" applyNumberFormat="1" applyFont="1" applyFill="1" applyAlignment="1">
      <alignment horizontal="center"/>
    </xf>
    <xf numFmtId="0" fontId="34" fillId="8" borderId="0" xfId="0" applyFont="1" applyFill="1" applyAlignment="1">
      <alignment horizontal="left"/>
    </xf>
    <xf numFmtId="0" fontId="31" fillId="7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5" fontId="27" fillId="7" borderId="0" xfId="0" quotePrefix="1" applyNumberFormat="1" applyFont="1" applyFill="1" applyBorder="1" applyAlignment="1">
      <alignment horizontal="center"/>
    </xf>
    <xf numFmtId="15" fontId="27" fillId="7" borderId="0" xfId="0" applyNumberFormat="1" applyFont="1" applyFill="1" applyBorder="1" applyAlignment="1">
      <alignment horizontal="center"/>
    </xf>
    <xf numFmtId="49" fontId="33" fillId="7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8" borderId="0" xfId="0" applyFont="1" applyFill="1" applyAlignment="1"/>
    <xf numFmtId="0" fontId="24" fillId="7" borderId="0" xfId="0" applyFont="1" applyFill="1" applyAlignment="1">
      <alignment horizontal="center"/>
    </xf>
    <xf numFmtId="15" fontId="21" fillId="7" borderId="0" xfId="0" quotePrefix="1" applyNumberFormat="1" applyFont="1" applyFill="1" applyAlignment="1">
      <alignment horizontal="center"/>
    </xf>
    <xf numFmtId="15" fontId="21" fillId="7" borderId="0" xfId="0" applyNumberFormat="1" applyFont="1" applyFill="1" applyAlignment="1">
      <alignment horizontal="center"/>
    </xf>
    <xf numFmtId="0" fontId="26" fillId="8" borderId="1" xfId="0" applyFont="1" applyFill="1" applyBorder="1" applyAlignment="1">
      <alignment horizontal="center"/>
    </xf>
    <xf numFmtId="0" fontId="26" fillId="8" borderId="9" xfId="0" applyFont="1" applyFill="1" applyBorder="1" applyAlignment="1">
      <alignment horizontal="center"/>
    </xf>
    <xf numFmtId="0" fontId="26" fillId="8" borderId="2" xfId="0" applyFont="1" applyFill="1" applyBorder="1" applyAlignment="1">
      <alignment horizontal="center"/>
    </xf>
    <xf numFmtId="165" fontId="21" fillId="7" borderId="0" xfId="0" quotePrefix="1" applyNumberFormat="1" applyFont="1" applyFill="1" applyAlignment="1">
      <alignment horizontal="center"/>
    </xf>
    <xf numFmtId="0" fontId="20" fillId="7" borderId="0" xfId="0" applyFont="1" applyFill="1" applyAlignment="1">
      <alignment horizontal="center"/>
    </xf>
    <xf numFmtId="0" fontId="18" fillId="4" borderId="0" xfId="0" applyFont="1" applyFill="1" applyAlignment="1">
      <alignment horizontal="center"/>
    </xf>
    <xf numFmtId="15" fontId="19" fillId="4" borderId="0" xfId="0" quotePrefix="1" applyNumberFormat="1" applyFont="1" applyFill="1" applyAlignment="1">
      <alignment horizontal="center"/>
    </xf>
    <xf numFmtId="0" fontId="12" fillId="9" borderId="0" xfId="0" applyFont="1" applyFill="1" applyAlignment="1">
      <alignment horizontal="center"/>
    </xf>
    <xf numFmtId="15" fontId="11" fillId="9" borderId="0" xfId="0" quotePrefix="1" applyNumberFormat="1" applyFont="1" applyFill="1" applyAlignment="1">
      <alignment horizontal="center"/>
    </xf>
    <xf numFmtId="0" fontId="20" fillId="6" borderId="0" xfId="0" applyFont="1" applyFill="1" applyAlignment="1">
      <alignment horizontal="center"/>
    </xf>
    <xf numFmtId="15" fontId="21" fillId="6" borderId="0" xfId="0" quotePrefix="1" applyNumberFormat="1" applyFont="1" applyFill="1" applyAlignment="1">
      <alignment horizontal="center"/>
    </xf>
    <xf numFmtId="0" fontId="15" fillId="3" borderId="0" xfId="0" applyFont="1" applyFill="1" applyAlignment="1"/>
    <xf numFmtId="17" fontId="29" fillId="3" borderId="0" xfId="0" quotePrefix="1" applyNumberFormat="1" applyFont="1" applyFill="1" applyAlignment="1">
      <alignment horizontal="center"/>
    </xf>
    <xf numFmtId="0" fontId="29" fillId="3" borderId="0" xfId="0" applyFont="1" applyFill="1" applyAlignment="1">
      <alignment horizontal="center"/>
    </xf>
    <xf numFmtId="1" fontId="28" fillId="0" borderId="13" xfId="1" applyNumberFormat="1" applyFont="1" applyFill="1" applyBorder="1" applyAlignment="1">
      <alignment horizontal="center"/>
    </xf>
  </cellXfs>
  <cellStyles count="11">
    <cellStyle name="Normal" xfId="0" builtinId="0"/>
    <cellStyle name="Normal 2" xfId="2"/>
    <cellStyle name="Normal 3" xfId="3"/>
    <cellStyle name="Normal 4" xfId="4"/>
    <cellStyle name="Normal 5" xfId="5"/>
    <cellStyle name="Normal 5 2" xfId="7"/>
    <cellStyle name="Normal 6" xfId="6"/>
    <cellStyle name="Normal 7" xfId="8"/>
    <cellStyle name="Normal 8" xfId="9"/>
    <cellStyle name="Normal 9" xfId="10"/>
    <cellStyle name="Normal_Havasu1" xfId="1"/>
  </cellStyles>
  <dxfs count="20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mbria"/>
        <scheme val="none"/>
      </font>
      <numFmt numFmtId="30" formatCode="@"/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right style="thin">
          <color rgb="FF95B3D7"/>
        </right>
        <top style="thin">
          <color rgb="FF95B3D7"/>
        </top>
        <bottom style="thin">
          <color rgb="FF95B3D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solid">
          <fgColor rgb="FFDCE6F1"/>
          <bgColor rgb="FFDCE6F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theme="0"/>
        <name val="Arial"/>
        <scheme val="none"/>
      </font>
      <numFmt numFmtId="2" formatCode="0.00"/>
      <fill>
        <patternFill patternType="solid">
          <fgColor indexed="64"/>
          <bgColor indexed="44"/>
        </patternFill>
      </fill>
      <alignment horizontal="center" vertical="bottom" textRotation="0" wrapText="1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indexed="9"/>
        <name val="Arial"/>
        <scheme val="none"/>
      </font>
      <fill>
        <patternFill patternType="solid">
          <fgColor indexed="64"/>
          <bgColor indexed="1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right style="thin">
          <color rgb="FF95B3D7"/>
        </right>
        <top style="thin">
          <color rgb="FF95B3D7"/>
        </top>
        <bottom style="thin">
          <color rgb="FF95B3D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theme="0"/>
        <name val="Arial"/>
        <scheme val="none"/>
      </font>
      <numFmt numFmtId="2" formatCode="0.00"/>
      <fill>
        <patternFill patternType="solid">
          <fgColor indexed="64"/>
          <bgColor indexed="44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none">
          <fgColor theme="4" tint="0.79998168889431442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none">
          <fgColor theme="4" tint="0.79998168889431442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none">
          <fgColor theme="4" tint="0.79998168889431442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none">
          <fgColor theme="4" tint="0.79998168889431442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none">
          <fgColor theme="4" tint="0.79998168889431442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none">
          <fgColor theme="4" tint="0.79998168889431442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none">
          <fgColor theme="4" tint="0.79998168889431442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border outline="0">
        <right style="thin">
          <color rgb="FF95B3D7"/>
        </right>
        <top style="thin">
          <color rgb="FF95B3D7"/>
        </top>
        <bottom style="thin">
          <color rgb="FF95B3D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rgb="FFDCE6F1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theme="0"/>
        <name val="Arial"/>
        <scheme val="none"/>
      </font>
      <numFmt numFmtId="2" formatCode="0.00"/>
      <fill>
        <patternFill patternType="solid">
          <fgColor indexed="64"/>
          <bgColor indexed="44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mbria"/>
        <scheme val="none"/>
      </font>
      <numFmt numFmtId="30" formatCode="@"/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right style="thin">
          <color rgb="FF95B3D7"/>
        </right>
        <top style="thin">
          <color rgb="FF95B3D7"/>
        </top>
        <bottom style="thin">
          <color rgb="FF95B3D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solid">
          <fgColor rgb="FFDCE6F1"/>
          <bgColor rgb="FFDCE6F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theme="0"/>
        <name val="Arial"/>
        <scheme val="none"/>
      </font>
      <numFmt numFmtId="2" formatCode="0.00"/>
      <fill>
        <patternFill patternType="solid">
          <fgColor indexed="64"/>
          <bgColor indexed="44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right style="thin">
          <color rgb="FF95B3D7"/>
        </right>
        <top style="thin">
          <color rgb="FF95B3D7"/>
        </top>
        <bottom style="thin">
          <color rgb="FF95B3D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solid">
          <fgColor rgb="FFDCE6F1"/>
          <bgColor rgb="FFDCE6F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theme="0"/>
        <name val="Arial"/>
        <scheme val="none"/>
      </font>
      <numFmt numFmtId="2" formatCode="0.00"/>
      <fill>
        <patternFill patternType="solid">
          <fgColor indexed="64"/>
          <bgColor indexed="44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border outline="0">
        <right style="thin">
          <color rgb="FF95B3D7"/>
        </right>
        <top style="thin">
          <color rgb="FF95B3D7"/>
        </top>
        <bottom style="thin">
          <color rgb="FF95B3D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theme="0"/>
        <name val="Arial"/>
        <scheme val="none"/>
      </font>
      <numFmt numFmtId="2" formatCode="0.00"/>
      <fill>
        <patternFill patternType="solid">
          <fgColor indexed="64"/>
          <bgColor indexed="44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theme="0"/>
        <name val="Arial"/>
        <scheme val="none"/>
      </font>
      <numFmt numFmtId="2" formatCode="0.0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mbria"/>
        <scheme val="none"/>
      </font>
      <numFmt numFmtId="30" formatCode="@"/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rgb="FFFFFFFF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rgb="FFFFFFFF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rgb="FFFFFFFF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rgb="FFFFFFFF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rgb="FFFFFFFF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rgb="FFFFFFFF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rgb="FFFFFFFF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none">
          <fgColor indexed="64"/>
          <bgColor rgb="FF00206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mbria"/>
        <scheme val="none"/>
      </font>
      <numFmt numFmtId="30" formatCode="@"/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border outline="0"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theme="0"/>
        <name val="Arial"/>
        <scheme val="none"/>
      </font>
      <numFmt numFmtId="2" formatCode="0.00"/>
      <fill>
        <patternFill patternType="solid">
          <fgColor indexed="64"/>
          <bgColor indexed="44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00FF"/>
      <color rgb="FFFFFF66"/>
      <color rgb="FFFFFF99"/>
      <color rgb="FFFE0000"/>
      <color rgb="FF063EBA"/>
      <color rgb="FF3D2E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2" name="table1" displayName="table1" ref="B3:H37" totalsRowShown="0" headerRowDxfId="208" dataDxfId="207" tableBorderDxfId="206">
  <autoFilter ref="B3:H37"/>
  <sortState ref="B4:H37">
    <sortCondition descending="1" ref="G3:G37"/>
  </sortState>
  <tableColumns count="7">
    <tableColumn id="1" name="Name" dataDxfId="205"/>
    <tableColumn id="2" name="Number of Fish" dataDxfId="204"/>
    <tableColumn id="3" name="Big Fish" dataDxfId="203"/>
    <tableColumn id="4" name="Total Weight" dataDxfId="202"/>
    <tableColumn id="5" name="Penalty" dataDxfId="201"/>
    <tableColumn id="6" name="Net Weight" dataDxfId="200">
      <calculatedColumnFormula>E4-F4</calculatedColumnFormula>
    </tableColumn>
    <tableColumn id="9" name="Total Points" dataDxfId="199">
      <calculatedColumnFormula>IF(A4&lt;31,33-A4,2)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2" name="table10" displayName="table10" ref="B3:H25" totalsRowShown="0" headerRowDxfId="95" dataDxfId="94" tableBorderDxfId="93">
  <autoFilter ref="B3:H25"/>
  <sortState ref="B4:H24">
    <sortCondition descending="1" ref="H3:H24"/>
  </sortState>
  <tableColumns count="7">
    <tableColumn id="1" name="Name" dataDxfId="92"/>
    <tableColumn id="2" name="Number of Fish" dataDxfId="91"/>
    <tableColumn id="3" name="Big Fish" dataDxfId="90"/>
    <tableColumn id="4" name="Total Weight" dataDxfId="89"/>
    <tableColumn id="5" name="Penalty" dataDxfId="88"/>
    <tableColumn id="6" name="Net Weight" dataDxfId="87">
      <calculatedColumnFormula>E4-F4</calculatedColumnFormula>
    </tableColumn>
    <tableColumn id="9" name="Total Points" dataDxfId="86">
      <calculatedColumnFormula>IF(A4&lt;31,33-A4,2)</calculatedColumnFormula>
    </tableColumn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5" name="TOC" displayName="TOC" ref="B4:G14" totalsRowShown="0" headerRowDxfId="85" dataDxfId="84" tableBorderDxfId="83">
  <autoFilter ref="B4:G14"/>
  <tableColumns count="6">
    <tableColumn id="1" name="Name" dataDxfId="82"/>
    <tableColumn id="2" name="Number of Fish" dataDxfId="81"/>
    <tableColumn id="3" name="Big Fish" dataDxfId="80"/>
    <tableColumn id="4" name="Total Weight" dataDxfId="79"/>
    <tableColumn id="5" name="Penalty" dataDxfId="78"/>
    <tableColumn id="6" name="Net Weight" dataDxfId="77">
      <calculatedColumnFormula>E5-F5</calculatedColumnFormula>
    </tableColumn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8" name="Table18" displayName="Table18" ref="B3:N73" totalsRowShown="0" headerRowDxfId="76" dataDxfId="75">
  <autoFilter ref="B3:N73"/>
  <sortState ref="B4:N47">
    <sortCondition descending="1" ref="N3:N73"/>
  </sortState>
  <tableColumns count="13">
    <tableColumn id="1" name="Angler" dataDxfId="74"/>
    <tableColumn id="2" name="Big Fish" dataDxfId="73">
      <calculatedColumnFormula>IFERROR(VLOOKUP(B4,Table16[],12,FALSE),0)</calculatedColumnFormula>
    </tableColumn>
    <tableColumn id="3" name="Otay" dataDxfId="72">
      <calculatedColumnFormula>IFERROR(VLOOKUP($B4,table1[],7, 0),"-")</calculatedColumnFormula>
    </tableColumn>
    <tableColumn id="4" name="Mohave" dataDxfId="71">
      <calculatedColumnFormula>IFERROR(VLOOKUP($B4,Table2[],15, 0),"-")</calculatedColumnFormula>
    </tableColumn>
    <tableColumn id="5" name="Otay 2" dataDxfId="70">
      <calculatedColumnFormula>IFERROR(VLOOKUP($B4,table3[],7, 0),"-")</calculatedColumnFormula>
    </tableColumn>
    <tableColumn id="6" name="Havasu" dataDxfId="69">
      <calculatedColumnFormula>IFERROR(VLOOKUP($B4,Table4[],15, 0),"-")</calculatedColumnFormula>
    </tableColumn>
    <tableColumn id="7" name="El Cap 1" dataDxfId="68">
      <calculatedColumnFormula>IFERROR(VLOOKUP($B4,table5[],7, 0),"-")</calculatedColumnFormula>
    </tableColumn>
    <tableColumn id="8" name="San V Night" dataDxfId="67">
      <calculatedColumnFormula>IFERROR(VLOOKUP($B4,table6[],7, 0),"-")</calculatedColumnFormula>
    </tableColumn>
    <tableColumn id="9" name="El Cap Night" dataDxfId="66">
      <calculatedColumnFormula>IFERROR(VLOOKUP($B4,table7[],7, 0),"-")</calculatedColumnFormula>
    </tableColumn>
    <tableColumn id="10" name="El Cap 2" dataDxfId="65">
      <calculatedColumnFormula>IFERROR(VLOOKUP($B4,table8[],7, 0),"-")</calculatedColumnFormula>
    </tableColumn>
    <tableColumn id="11" name="LCR" dataDxfId="64">
      <calculatedColumnFormula>IFERROR(VLOOKUP($B4,table9[],15, 0),"-")</calculatedColumnFormula>
    </tableColumn>
    <tableColumn id="12" name="San V" dataDxfId="63">
      <calculatedColumnFormula>IFERROR(VLOOKUP($B4,table10[],7, 0),"-")</calculatedColumnFormula>
    </tableColumn>
    <tableColumn id="13" name="Points" dataDxfId="62">
      <calculatedColumnFormula>SUM(D4:M4)</calculatedColumnFormula>
    </tableColumn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6" name="Table16" displayName="Table16" ref="A1:L77" totalsRowShown="0" headerRowDxfId="61">
  <autoFilter ref="A1:L77"/>
  <sortState ref="A2:L77">
    <sortCondition descending="1" ref="L1:L77"/>
  </sortState>
  <tableColumns count="12">
    <tableColumn id="1" name="Angler" dataDxfId="60"/>
    <tableColumn id="2" name="Otay" dataDxfId="59">
      <calculatedColumnFormula>IFERROR(VLOOKUP($A2,table1[],3,FALSE),"-")</calculatedColumnFormula>
    </tableColumn>
    <tableColumn id="3" name="Mohave" dataDxfId="58">
      <calculatedColumnFormula>IFERROR(VLOOKUP($A2,Table2[],12,FALSE),"-")</calculatedColumnFormula>
    </tableColumn>
    <tableColumn id="4" name="Otay 2" dataDxfId="57">
      <calculatedColumnFormula>IFERROR(VLOOKUP($A2,table3[],3,FALSE),"-")</calculatedColumnFormula>
    </tableColumn>
    <tableColumn id="5" name="Havasu" dataDxfId="56">
      <calculatedColumnFormula>IFERROR(VLOOKUP($A2,Table4[],12,FALSE),"-")</calculatedColumnFormula>
    </tableColumn>
    <tableColumn id="6" name="El Cap 1" dataDxfId="55">
      <calculatedColumnFormula>IFERROR(VLOOKUP($A2,table5[],3,FALSE),"-")</calculatedColumnFormula>
    </tableColumn>
    <tableColumn id="7" name="San V Night" dataDxfId="54">
      <calculatedColumnFormula>IFERROR(VLOOKUP($A2,table6[],3,FALSE),"-")</calculatedColumnFormula>
    </tableColumn>
    <tableColumn id="8" name="El Cap Night" dataDxfId="53">
      <calculatedColumnFormula>IFERROR(VLOOKUP($A2,table7[],3,FALSE),"-")</calculatedColumnFormula>
    </tableColumn>
    <tableColumn id="9" name="El Cap 2" dataDxfId="52">
      <calculatedColumnFormula>IFERROR(VLOOKUP($A2,table8[],3,FALSE),"-")</calculatedColumnFormula>
    </tableColumn>
    <tableColumn id="10" name="LCR" dataDxfId="51">
      <calculatedColumnFormula>IFERROR(VLOOKUP($A2,table9[],3,FALSE),"-")</calculatedColumnFormula>
    </tableColumn>
    <tableColumn id="11" name="San V" dataDxfId="50">
      <calculatedColumnFormula>IFERROR(VLOOKUP($A2,table10[],3,FALSE),"-")</calculatedColumnFormula>
    </tableColumn>
    <tableColumn id="12" name="Biggest" dataDxfId="49">
      <calculatedColumnFormula>MAX(Table16[[#This Row],[Otay]:[San V]])</calculatedColumnFormula>
    </tableColumn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1" name="Table2791112" displayName="Table2791112" ref="B3:H53" totalsRowShown="0" headerRowDxfId="48" dataDxfId="47" tableBorderDxfId="46">
  <autoFilter ref="B3:H53"/>
  <tableColumns count="7">
    <tableColumn id="1" name="Name" dataDxfId="45"/>
    <tableColumn id="2" name="Number of Fish" dataDxfId="44"/>
    <tableColumn id="3" name="Big Fish" dataDxfId="43"/>
    <tableColumn id="4" name="Total Weight" dataDxfId="42"/>
    <tableColumn id="5" name="Penalty" dataDxfId="41"/>
    <tableColumn id="6" name="Net Weight" dataDxfId="40">
      <calculatedColumnFormula>E4-F4</calculatedColumnFormula>
    </tableColumn>
    <tableColumn id="9" name="Total Points" dataDxfId="39">
      <calculatedColumnFormula>IF(A4&lt;31,33-A4,2)</calculatedColumnFormula>
    </tableColumn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7" name="Table28" displayName="Table28" ref="B4:P55" totalsRowShown="0" headerRowDxfId="38" dataDxfId="37" tableBorderDxfId="36" dataCellStyle="Normal_Havasu1">
  <autoFilter ref="B4:P55"/>
  <tableColumns count="15">
    <tableColumn id="1" name="Name" dataDxfId="35"/>
    <tableColumn id="2" name="Number of Fish" dataDxfId="34" dataCellStyle="Normal_Havasu1"/>
    <tableColumn id="3" name="Big Fish" dataDxfId="33" dataCellStyle="Normal_Havasu1"/>
    <tableColumn id="4" name="Total Weight" dataDxfId="32" dataCellStyle="Normal_Havasu1"/>
    <tableColumn id="5" name="Penalty" dataDxfId="31" dataCellStyle="Normal_Havasu1"/>
    <tableColumn id="6" name="Net Weight" dataDxfId="30" dataCellStyle="Normal_Havasu1">
      <calculatedColumnFormula>SUM(E5-F5)</calculatedColumnFormula>
    </tableColumn>
    <tableColumn id="7" name="Number of Fish2" dataDxfId="29" dataCellStyle="Normal_Havasu1"/>
    <tableColumn id="8" name="Big Fish2" dataDxfId="28" dataCellStyle="Normal_Havasu1"/>
    <tableColumn id="9" name="Total Weight2" dataDxfId="27" dataCellStyle="Normal_Havasu1"/>
    <tableColumn id="10" name="Penalty2" dataDxfId="26" dataCellStyle="Normal_Havasu1"/>
    <tableColumn id="11" name="Net Weight2" dataDxfId="25" dataCellStyle="Normal_Havasu1">
      <calculatedColumnFormula>SUM(J5-K5)</calculatedColumnFormula>
    </tableColumn>
    <tableColumn id="12" name="BIGGEST FISH" dataDxfId="24" dataCellStyle="Normal_Havasu1">
      <calculatedColumnFormula>MAX(D5,I5)</calculatedColumnFormula>
    </tableColumn>
    <tableColumn id="13" name="FISH COUNT" dataDxfId="23" dataCellStyle="Normal_Havasu1">
      <calculatedColumnFormula>SUM(C5+H5)</calculatedColumnFormula>
    </tableColumn>
    <tableColumn id="14" name="WEIGHT" dataDxfId="22" dataCellStyle="Normal_Havasu1">
      <calculatedColumnFormula>SUM(G5+L5)</calculatedColumnFormula>
    </tableColumn>
    <tableColumn id="15" name="POINTS" dataDxfId="21" dataCellStyle="Normal_Havasu1">
      <calculatedColumnFormula>IF(A5&lt;31,33-A5,2)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5" name="Table2" displayName="Table2" ref="B4:P55" totalsRowShown="0" headerRowDxfId="198" dataDxfId="197" tableBorderDxfId="196" dataCellStyle="Normal_Havasu1">
  <autoFilter ref="B4:P55"/>
  <sortState ref="B5:P55">
    <sortCondition descending="1" ref="O4:O55"/>
  </sortState>
  <tableColumns count="15">
    <tableColumn id="1" name="Name" dataDxfId="195"/>
    <tableColumn id="2" name="Number of Fish" dataDxfId="194" dataCellStyle="Normal_Havasu1"/>
    <tableColumn id="3" name="Big Fish" dataDxfId="193" dataCellStyle="Normal_Havasu1"/>
    <tableColumn id="4" name="Total Weight" dataDxfId="192" dataCellStyle="Normal_Havasu1"/>
    <tableColumn id="5" name="Penalty" dataDxfId="191" dataCellStyle="Normal_Havasu1"/>
    <tableColumn id="6" name="Net Weight" dataDxfId="190" dataCellStyle="Normal_Havasu1">
      <calculatedColumnFormula>SUM(E5-F5)</calculatedColumnFormula>
    </tableColumn>
    <tableColumn id="7" name="Number of Fish2" dataDxfId="189" dataCellStyle="Normal_Havasu1"/>
    <tableColumn id="8" name="Big Fish2" dataDxfId="188" dataCellStyle="Normal_Havasu1"/>
    <tableColumn id="9" name="Total Weight2" dataDxfId="187" dataCellStyle="Normal_Havasu1"/>
    <tableColumn id="10" name="Penalty2" dataDxfId="186" dataCellStyle="Normal_Havasu1"/>
    <tableColumn id="11" name="Net Weight2" dataDxfId="185" dataCellStyle="Normal_Havasu1">
      <calculatedColumnFormula>SUM(J5-K5)</calculatedColumnFormula>
    </tableColumn>
    <tableColumn id="12" name="BIGGEST FISH" dataDxfId="184" dataCellStyle="Normal_Havasu1">
      <calculatedColumnFormula>MAX(D5,I5)</calculatedColumnFormula>
    </tableColumn>
    <tableColumn id="13" name="FISH COUNT" dataDxfId="183" dataCellStyle="Normal_Havasu1">
      <calculatedColumnFormula>SUM(C5+H5)</calculatedColumnFormula>
    </tableColumn>
    <tableColumn id="14" name="WEIGHT" dataDxfId="182" dataCellStyle="Normal_Havasu1">
      <calculatedColumnFormula>SUM(G5+L5)</calculatedColumnFormula>
    </tableColumn>
    <tableColumn id="15" name="POINTS" dataDxfId="181" dataCellStyle="Normal_Havasu1">
      <calculatedColumnFormula>IF(A5&lt;31,33-A5,2)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e3" displayName="table3" ref="B4:H37" totalsRowShown="0" headerRowDxfId="180" dataDxfId="178" headerRowBorderDxfId="179" dataCellStyle="Normal_Havasu1">
  <autoFilter ref="B4:H37"/>
  <tableColumns count="7">
    <tableColumn id="1" name="Name" dataDxfId="177" dataCellStyle="Normal_Havasu1"/>
    <tableColumn id="2" name="Number of Fish" dataDxfId="176" dataCellStyle="Normal_Havasu1"/>
    <tableColumn id="3" name="Big Fish" dataDxfId="175" dataCellStyle="Normal_Havasu1"/>
    <tableColumn id="4" name="Total Weight" dataDxfId="174" dataCellStyle="Normal_Havasu1"/>
    <tableColumn id="5" name="Penalty" dataDxfId="173" dataCellStyle="Normal_Havasu1"/>
    <tableColumn id="6" name="Net Weight" dataDxfId="172" dataCellStyle="Normal_Havasu1">
      <calculatedColumnFormula>SUM(E5-F5)</calculatedColumnFormula>
    </tableColumn>
    <tableColumn id="15" name="POINTS" dataDxfId="171" dataCellStyle="Normal_Havasu1">
      <calculatedColumnFormula>IF(A5&lt;31,33-A5,2)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9" name="Table4" displayName="Table4" ref="B4:P33" totalsRowShown="0" headerRowDxfId="170" dataDxfId="169" tableBorderDxfId="168" dataCellStyle="Normal_Havasu1">
  <autoFilter ref="B4:P33"/>
  <sortState ref="B5:P33">
    <sortCondition descending="1" ref="O4:O33"/>
  </sortState>
  <tableColumns count="15">
    <tableColumn id="1" name="Name" dataDxfId="167"/>
    <tableColumn id="2" name="Number of Fish" dataDxfId="166" dataCellStyle="Normal_Havasu1"/>
    <tableColumn id="3" name="Big Fish" dataDxfId="165" dataCellStyle="Normal_Havasu1"/>
    <tableColumn id="4" name="Total Weight" dataDxfId="164" dataCellStyle="Normal_Havasu1"/>
    <tableColumn id="5" name="Penalty" dataDxfId="163" dataCellStyle="Normal_Havasu1"/>
    <tableColumn id="6" name="Net Weight" dataDxfId="162" dataCellStyle="Normal_Havasu1">
      <calculatedColumnFormula>SUM(E5-F5)</calculatedColumnFormula>
    </tableColumn>
    <tableColumn id="7" name="Number of Fish2" dataDxfId="161" dataCellStyle="Normal_Havasu1"/>
    <tableColumn id="8" name="Big Fish2" dataDxfId="160" dataCellStyle="Normal_Havasu1"/>
    <tableColumn id="9" name="Total Weight2" dataDxfId="159" dataCellStyle="Normal_Havasu1"/>
    <tableColumn id="10" name="Penalty2" dataDxfId="158" dataCellStyle="Normal_Havasu1"/>
    <tableColumn id="11" name="Net Weight2" dataDxfId="157" dataCellStyle="Normal_Havasu1">
      <calculatedColumnFormula>SUM(J5-K5)</calculatedColumnFormula>
    </tableColumn>
    <tableColumn id="12" name="BIGGEST FISH" dataDxfId="156" dataCellStyle="Normal_Havasu1">
      <calculatedColumnFormula>MAX(D5,I5)</calculatedColumnFormula>
    </tableColumn>
    <tableColumn id="13" name="FISH COUNT" dataDxfId="155" dataCellStyle="Normal_Havasu1">
      <calculatedColumnFormula>SUM(C5+H5)</calculatedColumnFormula>
    </tableColumn>
    <tableColumn id="14" name="WEIGHT" dataDxfId="154" dataCellStyle="Normal_Havasu1">
      <calculatedColumnFormula>SUM(G5+L5)</calculatedColumnFormula>
    </tableColumn>
    <tableColumn id="15" name="POINTS" dataDxfId="153" dataCellStyle="Normal_Havasu1">
      <calculatedColumnFormula>IF(A5&lt;31,33-A5,2)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table5" displayName="table5" ref="B3:H41" totalsRowShown="0" headerRowDxfId="152" dataDxfId="151">
  <autoFilter ref="B3:H41"/>
  <sortState ref="B4:H41">
    <sortCondition descending="1" ref="G3:G41"/>
  </sortState>
  <tableColumns count="7">
    <tableColumn id="1" name="Name" dataDxfId="150" dataCellStyle="Normal 5"/>
    <tableColumn id="2" name="Number of Fish" dataDxfId="149"/>
    <tableColumn id="3" name="Big Fish" dataDxfId="148"/>
    <tableColumn id="4" name="Total Weight" dataDxfId="147"/>
    <tableColumn id="5" name="Penalty" dataDxfId="146"/>
    <tableColumn id="6" name="Net Weight" dataDxfId="145">
      <calculatedColumnFormula>E4-F4</calculatedColumnFormula>
    </tableColumn>
    <tableColumn id="7" name="Total Points" dataDxfId="144">
      <calculatedColumnFormula>IF(A4&lt;31,33-A4,2)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0" name="table6" displayName="table6" ref="B3:H31" totalsRowShown="0" headerRowDxfId="143" dataDxfId="142" tableBorderDxfId="141">
  <autoFilter ref="B3:H31"/>
  <tableColumns count="7">
    <tableColumn id="1" name="Name" dataDxfId="140"/>
    <tableColumn id="2" name="Number of Fish" dataDxfId="139"/>
    <tableColumn id="3" name="Big Fish" dataDxfId="138"/>
    <tableColumn id="4" name="Total Weight" dataDxfId="137"/>
    <tableColumn id="5" name="Penalty" dataDxfId="136"/>
    <tableColumn id="6" name="Net Weight" dataDxfId="135">
      <calculatedColumnFormula>E4-F4</calculatedColumnFormula>
    </tableColumn>
    <tableColumn id="9" name="Total Points" dataDxfId="134">
      <calculatedColumnFormula>IF(A4&lt;31,33-A4,2)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6" name="table7" displayName="table7" ref="B3:H32" totalsRowShown="0" headerRowDxfId="133" dataDxfId="132" tableBorderDxfId="131">
  <autoFilter ref="B3:H32"/>
  <sortState ref="B4:H53">
    <sortCondition descending="1" ref="G3:G53"/>
  </sortState>
  <tableColumns count="7">
    <tableColumn id="1" name="Name" dataDxfId="130"/>
    <tableColumn id="2" name="Number of Fish" dataDxfId="129"/>
    <tableColumn id="3" name="Big Fish" dataDxfId="128"/>
    <tableColumn id="4" name="Total Weight" dataDxfId="127"/>
    <tableColumn id="5" name="Penalty" dataDxfId="126"/>
    <tableColumn id="6" name="Net Weight" dataDxfId="125">
      <calculatedColumnFormula>E4-F4</calculatedColumnFormula>
    </tableColumn>
    <tableColumn id="9" name="Total Points" dataDxfId="124">
      <calculatedColumnFormula>IF(A4&lt;31,33-A4,2)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3" name="table8" displayName="table8" ref="B3:H30" totalsRowShown="0" headerRowDxfId="123" dataDxfId="122" tableBorderDxfId="121">
  <autoFilter ref="B3:H30"/>
  <sortState ref="B4:H53">
    <sortCondition descending="1" ref="G3:G53"/>
  </sortState>
  <tableColumns count="7">
    <tableColumn id="1" name="Name" dataDxfId="120"/>
    <tableColumn id="2" name="Number of Fish" dataDxfId="119"/>
    <tableColumn id="3" name="Big Fish" dataDxfId="118"/>
    <tableColumn id="4" name="Total Weight" dataDxfId="117"/>
    <tableColumn id="5" name="Penalty" dataDxfId="116"/>
    <tableColumn id="6" name="Net Weight" dataDxfId="115">
      <calculatedColumnFormula>E4-F4</calculatedColumnFormula>
    </tableColumn>
    <tableColumn id="9" name="Total Points" dataDxfId="114">
      <calculatedColumnFormula>IF(A4&lt;31,33-A4,2)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7" name="table9" displayName="table9" ref="B4:P27" totalsRowShown="0" headerRowDxfId="113" dataDxfId="112" tableBorderDxfId="111" dataCellStyle="Normal_Havasu1">
  <autoFilter ref="B4:P27"/>
  <sortState ref="B5:P54">
    <sortCondition descending="1" ref="O4:O54"/>
  </sortState>
  <tableColumns count="15">
    <tableColumn id="1" name="Name" dataDxfId="110"/>
    <tableColumn id="2" name="Number of Fish" dataDxfId="109" dataCellStyle="Normal_Havasu1"/>
    <tableColumn id="3" name="Big Fish" dataDxfId="108" dataCellStyle="Normal_Havasu1"/>
    <tableColumn id="4" name="Total Weight" dataDxfId="107" dataCellStyle="Normal_Havasu1"/>
    <tableColumn id="5" name="Penalty" dataDxfId="106" dataCellStyle="Normal_Havasu1"/>
    <tableColumn id="6" name="Net Weight" dataDxfId="105" dataCellStyle="Normal_Havasu1">
      <calculatedColumnFormula>SUM(E5-F5)</calculatedColumnFormula>
    </tableColumn>
    <tableColumn id="7" name="Number of Fish2" dataDxfId="104" dataCellStyle="Normal_Havasu1"/>
    <tableColumn id="8" name="Big Fish2" dataDxfId="103" dataCellStyle="Normal_Havasu1"/>
    <tableColumn id="9" name="Total Weight2" dataDxfId="102" dataCellStyle="Normal_Havasu1"/>
    <tableColumn id="10" name="Penalty2" dataDxfId="101" dataCellStyle="Normal_Havasu1"/>
    <tableColumn id="11" name="Net Weight2" dataDxfId="100" dataCellStyle="Normal_Havasu1">
      <calculatedColumnFormula>SUM(J5-K5)</calculatedColumnFormula>
    </tableColumn>
    <tableColumn id="12" name="BIGGEST FISH" dataDxfId="99" dataCellStyle="Normal_Havasu1">
      <calculatedColumnFormula>MAX(D5,I5)</calculatedColumnFormula>
    </tableColumn>
    <tableColumn id="13" name="FISH COUNT" dataDxfId="98" dataCellStyle="Normal_Havasu1">
      <calculatedColumnFormula>SUM(C5+H5)</calculatedColumnFormula>
    </tableColumn>
    <tableColumn id="14" name="WEIGHT" dataDxfId="97" dataCellStyle="Normal_Havasu1">
      <calculatedColumnFormula>SUM(G5+L5)</calculatedColumnFormula>
    </tableColumn>
    <tableColumn id="15" name="POINTS" dataDxfId="96" dataCellStyle="Normal_Havasu1">
      <calculatedColumnFormula>IF(N5&gt;0,33-A5,2)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3" tint="0.79998168889431442"/>
    <pageSetUpPr fitToPage="1"/>
  </sheetPr>
  <dimension ref="A1:H44"/>
  <sheetViews>
    <sheetView zoomScale="70" zoomScaleNormal="70" workbookViewId="0">
      <selection activeCell="I29" sqref="I29"/>
    </sheetView>
  </sheetViews>
  <sheetFormatPr defaultColWidth="9.140625" defaultRowHeight="15.75" x14ac:dyDescent="0.25"/>
  <cols>
    <col min="1" max="1" width="12.85546875" style="5" customWidth="1"/>
    <col min="2" max="2" width="31.85546875" style="1" customWidth="1"/>
    <col min="3" max="3" width="24.85546875" style="55" bestFit="1" customWidth="1"/>
    <col min="4" max="4" width="15.140625" style="55" bestFit="1" customWidth="1"/>
    <col min="5" max="5" width="16.140625" style="1" bestFit="1" customWidth="1"/>
    <col min="6" max="6" width="21.28515625" style="1" bestFit="1" customWidth="1"/>
    <col min="7" max="7" width="19.5703125" style="1" bestFit="1" customWidth="1"/>
    <col min="8" max="8" width="20.42578125" style="1" bestFit="1" customWidth="1"/>
    <col min="9" max="16384" width="9.140625" style="2"/>
  </cols>
  <sheetData>
    <row r="1" spans="1:8" ht="31.5" x14ac:dyDescent="0.6">
      <c r="A1" s="157" t="s">
        <v>178</v>
      </c>
      <c r="B1" s="157"/>
      <c r="C1" s="157"/>
      <c r="D1" s="157"/>
      <c r="E1" s="157"/>
      <c r="F1" s="157"/>
      <c r="G1" s="157"/>
      <c r="H1" s="157"/>
    </row>
    <row r="2" spans="1:8" ht="20.25" x14ac:dyDescent="0.3">
      <c r="A2" s="158" t="s">
        <v>246</v>
      </c>
      <c r="B2" s="158"/>
      <c r="C2" s="158"/>
      <c r="D2" s="158"/>
      <c r="E2" s="158"/>
      <c r="F2" s="158"/>
      <c r="G2" s="158"/>
      <c r="H2" s="158"/>
    </row>
    <row r="3" spans="1:8" s="81" customFormat="1" x14ac:dyDescent="0.25">
      <c r="A3" s="82" t="s">
        <v>175</v>
      </c>
      <c r="B3" s="90" t="s">
        <v>22</v>
      </c>
      <c r="C3" s="91" t="s">
        <v>204</v>
      </c>
      <c r="D3" s="92" t="s">
        <v>174</v>
      </c>
      <c r="E3" s="92" t="s">
        <v>205</v>
      </c>
      <c r="F3" s="92" t="s">
        <v>172</v>
      </c>
      <c r="G3" s="92" t="s">
        <v>206</v>
      </c>
      <c r="H3" s="93" t="s">
        <v>207</v>
      </c>
    </row>
    <row r="4" spans="1:8" ht="15" x14ac:dyDescent="0.2">
      <c r="A4" s="83">
        <v>1</v>
      </c>
      <c r="B4" s="28" t="s">
        <v>100</v>
      </c>
      <c r="C4" s="102">
        <v>5</v>
      </c>
      <c r="D4" s="105">
        <v>3.24</v>
      </c>
      <c r="E4" s="105">
        <v>14.04</v>
      </c>
      <c r="F4" s="105"/>
      <c r="G4" s="105">
        <f t="shared" ref="G4:G35" si="0">E4-F4</f>
        <v>14.04</v>
      </c>
      <c r="H4" s="26">
        <f t="shared" ref="H4:H32" si="1">IF(A4&lt;31,33-A4,2)</f>
        <v>32</v>
      </c>
    </row>
    <row r="5" spans="1:8" ht="15" x14ac:dyDescent="0.2">
      <c r="A5" s="86">
        <v>2</v>
      </c>
      <c r="B5" s="102" t="s">
        <v>170</v>
      </c>
      <c r="C5" s="102">
        <v>5</v>
      </c>
      <c r="D5" s="105">
        <v>4.57</v>
      </c>
      <c r="E5" s="105">
        <v>12.68</v>
      </c>
      <c r="F5" s="105"/>
      <c r="G5" s="105">
        <f t="shared" si="0"/>
        <v>12.68</v>
      </c>
      <c r="H5" s="26">
        <f t="shared" si="1"/>
        <v>31</v>
      </c>
    </row>
    <row r="6" spans="1:8" ht="15" x14ac:dyDescent="0.2">
      <c r="A6" s="83">
        <v>3</v>
      </c>
      <c r="B6" s="102" t="s">
        <v>53</v>
      </c>
      <c r="C6" s="102">
        <v>5</v>
      </c>
      <c r="D6" s="105">
        <v>4.4800000000000004</v>
      </c>
      <c r="E6" s="105">
        <v>12.48</v>
      </c>
      <c r="F6" s="105"/>
      <c r="G6" s="105">
        <f t="shared" si="0"/>
        <v>12.48</v>
      </c>
      <c r="H6" s="26">
        <f t="shared" si="1"/>
        <v>30</v>
      </c>
    </row>
    <row r="7" spans="1:8" ht="15" x14ac:dyDescent="0.2">
      <c r="A7" s="86">
        <v>4</v>
      </c>
      <c r="B7" s="102" t="s">
        <v>35</v>
      </c>
      <c r="C7" s="102">
        <v>5</v>
      </c>
      <c r="D7" s="105">
        <v>2.94</v>
      </c>
      <c r="E7" s="105">
        <v>12.35</v>
      </c>
      <c r="F7" s="105"/>
      <c r="G7" s="105">
        <f t="shared" si="0"/>
        <v>12.35</v>
      </c>
      <c r="H7" s="26">
        <f t="shared" si="1"/>
        <v>29</v>
      </c>
    </row>
    <row r="8" spans="1:8" ht="15" x14ac:dyDescent="0.2">
      <c r="A8" s="83">
        <v>5</v>
      </c>
      <c r="B8" s="102" t="s">
        <v>227</v>
      </c>
      <c r="C8" s="102">
        <v>5</v>
      </c>
      <c r="D8" s="105">
        <v>2.65</v>
      </c>
      <c r="E8" s="105">
        <v>11.97</v>
      </c>
      <c r="F8" s="105"/>
      <c r="G8" s="105">
        <f t="shared" si="0"/>
        <v>11.97</v>
      </c>
      <c r="H8" s="26">
        <f t="shared" si="1"/>
        <v>28</v>
      </c>
    </row>
    <row r="9" spans="1:8" ht="15" x14ac:dyDescent="0.2">
      <c r="A9" s="86">
        <v>6</v>
      </c>
      <c r="B9" s="102" t="s">
        <v>97</v>
      </c>
      <c r="C9" s="102">
        <v>5</v>
      </c>
      <c r="D9" s="105">
        <v>4.37</v>
      </c>
      <c r="E9" s="105">
        <v>11.81</v>
      </c>
      <c r="F9" s="105"/>
      <c r="G9" s="105">
        <f t="shared" si="0"/>
        <v>11.81</v>
      </c>
      <c r="H9" s="26">
        <f t="shared" si="1"/>
        <v>27</v>
      </c>
    </row>
    <row r="10" spans="1:8" ht="15" x14ac:dyDescent="0.2">
      <c r="A10" s="83">
        <v>7</v>
      </c>
      <c r="B10" s="102" t="s">
        <v>224</v>
      </c>
      <c r="C10" s="102">
        <v>5</v>
      </c>
      <c r="D10" s="105">
        <v>2.63</v>
      </c>
      <c r="E10" s="105">
        <v>11.57</v>
      </c>
      <c r="F10" s="105"/>
      <c r="G10" s="105">
        <f t="shared" si="0"/>
        <v>11.57</v>
      </c>
      <c r="H10" s="26">
        <f t="shared" si="1"/>
        <v>26</v>
      </c>
    </row>
    <row r="11" spans="1:8" ht="15" x14ac:dyDescent="0.2">
      <c r="A11" s="86">
        <v>8</v>
      </c>
      <c r="B11" s="102" t="s">
        <v>54</v>
      </c>
      <c r="C11" s="102">
        <v>5</v>
      </c>
      <c r="D11" s="105">
        <v>3.96</v>
      </c>
      <c r="E11" s="105">
        <v>11.52</v>
      </c>
      <c r="F11" s="105"/>
      <c r="G11" s="105">
        <f t="shared" si="0"/>
        <v>11.52</v>
      </c>
      <c r="H11" s="26">
        <f t="shared" si="1"/>
        <v>25</v>
      </c>
    </row>
    <row r="12" spans="1:8" ht="15" x14ac:dyDescent="0.2">
      <c r="A12" s="83">
        <v>9</v>
      </c>
      <c r="B12" s="102" t="s">
        <v>232</v>
      </c>
      <c r="C12" s="102">
        <v>5</v>
      </c>
      <c r="D12" s="105"/>
      <c r="E12" s="105">
        <v>10.08</v>
      </c>
      <c r="F12" s="105"/>
      <c r="G12" s="105">
        <f t="shared" si="0"/>
        <v>10.08</v>
      </c>
      <c r="H12" s="26">
        <f t="shared" si="1"/>
        <v>24</v>
      </c>
    </row>
    <row r="13" spans="1:8" ht="15" x14ac:dyDescent="0.2">
      <c r="A13" s="86">
        <v>10</v>
      </c>
      <c r="B13" s="102" t="s">
        <v>229</v>
      </c>
      <c r="C13" s="102">
        <v>5</v>
      </c>
      <c r="D13" s="105">
        <v>2.17</v>
      </c>
      <c r="E13" s="105">
        <v>10.02</v>
      </c>
      <c r="F13" s="105"/>
      <c r="G13" s="105">
        <f t="shared" si="0"/>
        <v>10.02</v>
      </c>
      <c r="H13" s="26">
        <f t="shared" si="1"/>
        <v>23</v>
      </c>
    </row>
    <row r="14" spans="1:8" ht="15" x14ac:dyDescent="0.2">
      <c r="A14" s="83">
        <v>11</v>
      </c>
      <c r="B14" s="102" t="s">
        <v>99</v>
      </c>
      <c r="C14" s="102">
        <v>4</v>
      </c>
      <c r="D14" s="105">
        <v>2.84</v>
      </c>
      <c r="E14" s="105">
        <v>9.6999999999999993</v>
      </c>
      <c r="F14" s="105"/>
      <c r="G14" s="105">
        <f t="shared" si="0"/>
        <v>9.6999999999999993</v>
      </c>
      <c r="H14" s="26">
        <f t="shared" si="1"/>
        <v>22</v>
      </c>
    </row>
    <row r="15" spans="1:8" ht="15" x14ac:dyDescent="0.2">
      <c r="A15" s="86">
        <v>12</v>
      </c>
      <c r="B15" s="102" t="s">
        <v>223</v>
      </c>
      <c r="C15" s="102">
        <v>5</v>
      </c>
      <c r="D15" s="105">
        <v>2.52</v>
      </c>
      <c r="E15" s="105">
        <v>9.18</v>
      </c>
      <c r="F15" s="105"/>
      <c r="G15" s="105">
        <f t="shared" si="0"/>
        <v>9.18</v>
      </c>
      <c r="H15" s="26">
        <f t="shared" si="1"/>
        <v>21</v>
      </c>
    </row>
    <row r="16" spans="1:8" ht="15" x14ac:dyDescent="0.2">
      <c r="A16" s="83">
        <v>13</v>
      </c>
      <c r="B16" s="102" t="s">
        <v>234</v>
      </c>
      <c r="C16" s="102">
        <v>4</v>
      </c>
      <c r="D16" s="105">
        <v>2.58</v>
      </c>
      <c r="E16" s="105">
        <v>9.0500000000000007</v>
      </c>
      <c r="F16" s="105"/>
      <c r="G16" s="105">
        <f t="shared" si="0"/>
        <v>9.0500000000000007</v>
      </c>
      <c r="H16" s="26">
        <f t="shared" si="1"/>
        <v>20</v>
      </c>
    </row>
    <row r="17" spans="1:8" ht="15" x14ac:dyDescent="0.2">
      <c r="A17" s="86">
        <v>14</v>
      </c>
      <c r="B17" s="102" t="s">
        <v>263</v>
      </c>
      <c r="C17" s="102">
        <v>4</v>
      </c>
      <c r="D17" s="105">
        <v>3.7</v>
      </c>
      <c r="E17" s="105">
        <v>9.0299999999999994</v>
      </c>
      <c r="F17" s="105"/>
      <c r="G17" s="105">
        <f t="shared" si="0"/>
        <v>9.0299999999999994</v>
      </c>
      <c r="H17" s="26">
        <f t="shared" si="1"/>
        <v>19</v>
      </c>
    </row>
    <row r="18" spans="1:8" ht="15" x14ac:dyDescent="0.2">
      <c r="A18" s="83">
        <v>15</v>
      </c>
      <c r="B18" s="102" t="s">
        <v>112</v>
      </c>
      <c r="C18" s="102">
        <v>5</v>
      </c>
      <c r="D18" s="105">
        <v>2.41</v>
      </c>
      <c r="E18" s="105">
        <v>8.83</v>
      </c>
      <c r="F18" s="105"/>
      <c r="G18" s="105">
        <f t="shared" si="0"/>
        <v>8.83</v>
      </c>
      <c r="H18" s="26">
        <f t="shared" si="1"/>
        <v>18</v>
      </c>
    </row>
    <row r="19" spans="1:8" ht="15" x14ac:dyDescent="0.2">
      <c r="A19" s="86">
        <v>16</v>
      </c>
      <c r="B19" s="102" t="s">
        <v>163</v>
      </c>
      <c r="C19" s="102">
        <v>5</v>
      </c>
      <c r="D19" s="105">
        <v>2.33</v>
      </c>
      <c r="E19" s="105">
        <v>8.68</v>
      </c>
      <c r="F19" s="105"/>
      <c r="G19" s="105">
        <f t="shared" si="0"/>
        <v>8.68</v>
      </c>
      <c r="H19" s="26">
        <f t="shared" si="1"/>
        <v>17</v>
      </c>
    </row>
    <row r="20" spans="1:8" ht="15" x14ac:dyDescent="0.2">
      <c r="A20" s="83">
        <v>17</v>
      </c>
      <c r="B20" s="102" t="s">
        <v>238</v>
      </c>
      <c r="C20" s="102">
        <v>5</v>
      </c>
      <c r="D20" s="105">
        <v>1.87</v>
      </c>
      <c r="E20" s="105">
        <v>8.16</v>
      </c>
      <c r="F20" s="105"/>
      <c r="G20" s="105">
        <f t="shared" si="0"/>
        <v>8.16</v>
      </c>
      <c r="H20" s="26">
        <f t="shared" si="1"/>
        <v>16</v>
      </c>
    </row>
    <row r="21" spans="1:8" ht="15" x14ac:dyDescent="0.2">
      <c r="A21" s="86">
        <v>18</v>
      </c>
      <c r="B21" s="102" t="s">
        <v>168</v>
      </c>
      <c r="C21" s="102">
        <v>4</v>
      </c>
      <c r="D21" s="105">
        <v>2.97</v>
      </c>
      <c r="E21" s="105">
        <v>8.1</v>
      </c>
      <c r="F21" s="105"/>
      <c r="G21" s="105">
        <f t="shared" si="0"/>
        <v>8.1</v>
      </c>
      <c r="H21" s="26">
        <f t="shared" si="1"/>
        <v>15</v>
      </c>
    </row>
    <row r="22" spans="1:8" ht="15" x14ac:dyDescent="0.2">
      <c r="A22" s="83">
        <v>19</v>
      </c>
      <c r="B22" s="102" t="s">
        <v>81</v>
      </c>
      <c r="C22" s="102">
        <v>5</v>
      </c>
      <c r="D22" s="105">
        <v>1.4</v>
      </c>
      <c r="E22" s="105">
        <v>7.1</v>
      </c>
      <c r="F22" s="105"/>
      <c r="G22" s="105">
        <f t="shared" si="0"/>
        <v>7.1</v>
      </c>
      <c r="H22" s="26">
        <f t="shared" si="1"/>
        <v>14</v>
      </c>
    </row>
    <row r="23" spans="1:8" ht="15" x14ac:dyDescent="0.2">
      <c r="A23" s="86">
        <v>20</v>
      </c>
      <c r="B23" s="102" t="s">
        <v>138</v>
      </c>
      <c r="C23" s="102">
        <v>5</v>
      </c>
      <c r="D23" s="105">
        <v>1.62</v>
      </c>
      <c r="E23" s="105">
        <v>6.85</v>
      </c>
      <c r="F23" s="105"/>
      <c r="G23" s="105">
        <f t="shared" si="0"/>
        <v>6.85</v>
      </c>
      <c r="H23" s="26">
        <f t="shared" si="1"/>
        <v>13</v>
      </c>
    </row>
    <row r="24" spans="1:8" ht="15" x14ac:dyDescent="0.2">
      <c r="A24" s="83">
        <v>21</v>
      </c>
      <c r="B24" s="102" t="s">
        <v>180</v>
      </c>
      <c r="C24" s="102">
        <v>3</v>
      </c>
      <c r="D24" s="105">
        <v>2.44</v>
      </c>
      <c r="E24" s="105">
        <v>5.88</v>
      </c>
      <c r="F24" s="105"/>
      <c r="G24" s="105">
        <f t="shared" si="0"/>
        <v>5.88</v>
      </c>
      <c r="H24" s="26">
        <f t="shared" si="1"/>
        <v>12</v>
      </c>
    </row>
    <row r="25" spans="1:8" ht="15" x14ac:dyDescent="0.2">
      <c r="A25" s="86">
        <v>22</v>
      </c>
      <c r="B25" s="102" t="s">
        <v>84</v>
      </c>
      <c r="C25" s="102">
        <v>3</v>
      </c>
      <c r="D25" s="105">
        <v>2.16</v>
      </c>
      <c r="E25" s="105">
        <v>5.86</v>
      </c>
      <c r="F25" s="105"/>
      <c r="G25" s="105">
        <f t="shared" si="0"/>
        <v>5.86</v>
      </c>
      <c r="H25" s="26">
        <v>9</v>
      </c>
    </row>
    <row r="26" spans="1:8" ht="15" x14ac:dyDescent="0.2">
      <c r="A26" s="83">
        <v>23</v>
      </c>
      <c r="B26" s="102" t="s">
        <v>77</v>
      </c>
      <c r="C26" s="102">
        <v>3</v>
      </c>
      <c r="D26" s="105">
        <v>2.2599999999999998</v>
      </c>
      <c r="E26" s="105">
        <v>5.33</v>
      </c>
      <c r="F26" s="105"/>
      <c r="G26" s="105">
        <f t="shared" si="0"/>
        <v>5.33</v>
      </c>
      <c r="H26" s="26">
        <f t="shared" si="1"/>
        <v>10</v>
      </c>
    </row>
    <row r="27" spans="1:8" ht="15" x14ac:dyDescent="0.2">
      <c r="A27" s="86">
        <v>24</v>
      </c>
      <c r="B27" s="102" t="s">
        <v>33</v>
      </c>
      <c r="C27" s="102">
        <v>3</v>
      </c>
      <c r="D27" s="105">
        <v>1.99</v>
      </c>
      <c r="E27" s="105">
        <v>4.9000000000000004</v>
      </c>
      <c r="F27" s="105"/>
      <c r="G27" s="105">
        <f t="shared" si="0"/>
        <v>4.9000000000000004</v>
      </c>
      <c r="H27" s="26">
        <f t="shared" si="1"/>
        <v>9</v>
      </c>
    </row>
    <row r="28" spans="1:8" ht="15" x14ac:dyDescent="0.2">
      <c r="A28" s="83">
        <v>25</v>
      </c>
      <c r="B28" s="102" t="s">
        <v>56</v>
      </c>
      <c r="C28" s="102">
        <v>3</v>
      </c>
      <c r="D28" s="105">
        <v>1.8</v>
      </c>
      <c r="E28" s="105">
        <v>4.55</v>
      </c>
      <c r="F28" s="105"/>
      <c r="G28" s="105">
        <f t="shared" si="0"/>
        <v>4.55</v>
      </c>
      <c r="H28" s="26">
        <f t="shared" si="1"/>
        <v>8</v>
      </c>
    </row>
    <row r="29" spans="1:8" ht="15" x14ac:dyDescent="0.2">
      <c r="A29" s="86">
        <v>26</v>
      </c>
      <c r="B29" s="102" t="s">
        <v>48</v>
      </c>
      <c r="C29" s="102">
        <v>3</v>
      </c>
      <c r="D29" s="105">
        <v>1.79</v>
      </c>
      <c r="E29" s="105">
        <v>4.8</v>
      </c>
      <c r="F29" s="105">
        <v>0.25</v>
      </c>
      <c r="G29" s="105">
        <f t="shared" si="0"/>
        <v>4.55</v>
      </c>
      <c r="H29" s="26">
        <f t="shared" si="1"/>
        <v>7</v>
      </c>
    </row>
    <row r="30" spans="1:8" ht="15" x14ac:dyDescent="0.2">
      <c r="A30" s="83">
        <v>27</v>
      </c>
      <c r="B30" s="102" t="s">
        <v>59</v>
      </c>
      <c r="C30" s="102">
        <v>3</v>
      </c>
      <c r="D30" s="105">
        <v>1.42</v>
      </c>
      <c r="E30" s="105">
        <v>4.08</v>
      </c>
      <c r="F30" s="105"/>
      <c r="G30" s="105">
        <f t="shared" si="0"/>
        <v>4.08</v>
      </c>
      <c r="H30" s="26">
        <f t="shared" si="1"/>
        <v>6</v>
      </c>
    </row>
    <row r="31" spans="1:8" ht="15" x14ac:dyDescent="0.2">
      <c r="A31" s="86">
        <v>28</v>
      </c>
      <c r="B31" s="102" t="s">
        <v>49</v>
      </c>
      <c r="C31" s="102">
        <v>2</v>
      </c>
      <c r="D31" s="105">
        <v>1.93</v>
      </c>
      <c r="E31" s="105">
        <v>3.53</v>
      </c>
      <c r="F31" s="105"/>
      <c r="G31" s="105">
        <f t="shared" si="0"/>
        <v>3.53</v>
      </c>
      <c r="H31" s="26">
        <f t="shared" si="1"/>
        <v>5</v>
      </c>
    </row>
    <row r="32" spans="1:8" ht="15" x14ac:dyDescent="0.2">
      <c r="A32" s="83">
        <v>29</v>
      </c>
      <c r="B32" s="102" t="s">
        <v>98</v>
      </c>
      <c r="C32" s="102">
        <v>2</v>
      </c>
      <c r="D32" s="105">
        <v>2.31</v>
      </c>
      <c r="E32" s="105">
        <v>3.52</v>
      </c>
      <c r="F32" s="105"/>
      <c r="G32" s="105">
        <f t="shared" si="0"/>
        <v>3.52</v>
      </c>
      <c r="H32" s="26">
        <f t="shared" si="1"/>
        <v>4</v>
      </c>
    </row>
    <row r="33" spans="1:8" ht="15" x14ac:dyDescent="0.2">
      <c r="A33" s="150">
        <v>30</v>
      </c>
      <c r="B33" s="102" t="s">
        <v>31</v>
      </c>
      <c r="C33" s="102">
        <v>0</v>
      </c>
      <c r="D33" s="105">
        <v>0</v>
      </c>
      <c r="E33" s="105">
        <v>0</v>
      </c>
      <c r="F33" s="105"/>
      <c r="G33" s="105">
        <f t="shared" si="0"/>
        <v>0</v>
      </c>
      <c r="H33" s="26">
        <v>2</v>
      </c>
    </row>
    <row r="34" spans="1:8" ht="15" x14ac:dyDescent="0.2">
      <c r="A34" s="83">
        <v>30</v>
      </c>
      <c r="B34" s="102" t="s">
        <v>221</v>
      </c>
      <c r="C34" s="102">
        <v>0</v>
      </c>
      <c r="D34" s="105">
        <v>0</v>
      </c>
      <c r="E34" s="105">
        <v>0</v>
      </c>
      <c r="F34" s="105"/>
      <c r="G34" s="105">
        <f t="shared" si="0"/>
        <v>0</v>
      </c>
      <c r="H34" s="26">
        <v>2</v>
      </c>
    </row>
    <row r="35" spans="1:8" ht="15" x14ac:dyDescent="0.2">
      <c r="A35" s="86">
        <v>30</v>
      </c>
      <c r="B35" s="102" t="s">
        <v>182</v>
      </c>
      <c r="C35" s="102">
        <v>0</v>
      </c>
      <c r="D35" s="105">
        <v>0</v>
      </c>
      <c r="E35" s="105">
        <v>0</v>
      </c>
      <c r="F35" s="105"/>
      <c r="G35" s="105">
        <f t="shared" si="0"/>
        <v>0</v>
      </c>
      <c r="H35" s="26">
        <v>2</v>
      </c>
    </row>
    <row r="36" spans="1:8" ht="15" x14ac:dyDescent="0.2">
      <c r="A36" s="83">
        <v>30</v>
      </c>
      <c r="B36" s="125" t="s">
        <v>141</v>
      </c>
      <c r="C36" s="125" t="s">
        <v>262</v>
      </c>
      <c r="D36" s="126">
        <v>0</v>
      </c>
      <c r="E36" s="126">
        <v>0</v>
      </c>
      <c r="F36" s="126"/>
      <c r="G36" s="126">
        <f t="shared" ref="G36:G37" si="2">E36-F36</f>
        <v>0</v>
      </c>
      <c r="H36" s="26">
        <v>2</v>
      </c>
    </row>
    <row r="37" spans="1:8" ht="15" x14ac:dyDescent="0.2">
      <c r="A37" s="86">
        <v>31</v>
      </c>
      <c r="B37" s="125" t="s">
        <v>75</v>
      </c>
      <c r="C37" s="125" t="s">
        <v>262</v>
      </c>
      <c r="D37" s="126">
        <v>0</v>
      </c>
      <c r="E37" s="126">
        <v>0</v>
      </c>
      <c r="F37" s="126"/>
      <c r="G37" s="126">
        <f t="shared" si="2"/>
        <v>0</v>
      </c>
      <c r="H37" s="26">
        <v>0</v>
      </c>
    </row>
    <row r="38" spans="1:8" ht="15" x14ac:dyDescent="0.2">
      <c r="A38" s="12"/>
      <c r="B38" s="12"/>
      <c r="C38" s="12"/>
      <c r="D38" s="8"/>
      <c r="E38" s="8"/>
      <c r="F38" s="8"/>
      <c r="G38" s="8"/>
      <c r="H38" s="12"/>
    </row>
    <row r="39" spans="1:8" ht="15" x14ac:dyDescent="0.2">
      <c r="A39" s="12"/>
      <c r="B39" s="12"/>
      <c r="C39" s="12"/>
      <c r="D39" s="12"/>
      <c r="E39" s="8"/>
      <c r="F39" s="8"/>
      <c r="G39" s="8"/>
      <c r="H39" s="12"/>
    </row>
    <row r="40" spans="1:8" ht="15" x14ac:dyDescent="0.2">
      <c r="A40" s="156" t="s">
        <v>85</v>
      </c>
      <c r="B40" s="156"/>
      <c r="C40" s="38">
        <f>COUNT(table1[Number of Fish])</f>
        <v>32</v>
      </c>
      <c r="D40" s="38"/>
      <c r="E40" s="38"/>
      <c r="F40" s="39"/>
      <c r="G40" s="39"/>
      <c r="H40" s="47"/>
    </row>
    <row r="41" spans="1:8" ht="15" x14ac:dyDescent="0.2">
      <c r="A41" s="156" t="s">
        <v>86</v>
      </c>
      <c r="B41" s="156"/>
      <c r="C41" s="38">
        <f>SUM(table1[Number of Fish])</f>
        <v>121</v>
      </c>
      <c r="D41" s="38"/>
      <c r="E41" s="38"/>
      <c r="F41" s="39"/>
      <c r="G41" s="39"/>
      <c r="H41" s="47"/>
    </row>
    <row r="42" spans="1:8" ht="15" x14ac:dyDescent="0.2">
      <c r="A42" s="156" t="s">
        <v>87</v>
      </c>
      <c r="B42" s="156"/>
      <c r="C42" s="39">
        <f>SUM(table1[Total Weight])</f>
        <v>245.65000000000009</v>
      </c>
      <c r="D42" s="38"/>
      <c r="E42" s="39"/>
      <c r="F42" s="39"/>
      <c r="G42" s="39"/>
      <c r="H42" s="46"/>
    </row>
    <row r="43" spans="1:8" ht="15" x14ac:dyDescent="0.2">
      <c r="A43" s="156" t="s">
        <v>88</v>
      </c>
      <c r="B43" s="156"/>
      <c r="C43" s="39">
        <f>C42/C41</f>
        <v>2.0301652892561992</v>
      </c>
      <c r="D43" s="38"/>
      <c r="E43" s="48"/>
      <c r="F43" s="39"/>
      <c r="G43" s="39"/>
      <c r="H43" s="46"/>
    </row>
    <row r="44" spans="1:8" ht="15" x14ac:dyDescent="0.2">
      <c r="A44" s="156" t="s">
        <v>89</v>
      </c>
      <c r="B44" s="156"/>
      <c r="C44" s="39">
        <f>C41/C40</f>
        <v>3.78125</v>
      </c>
      <c r="D44" s="38"/>
      <c r="E44" s="39"/>
      <c r="F44" s="39"/>
      <c r="G44" s="39"/>
      <c r="H44" s="46"/>
    </row>
  </sheetData>
  <sortState ref="B4:B29">
    <sortCondition ref="B4:B29"/>
  </sortState>
  <mergeCells count="7">
    <mergeCell ref="A43:B43"/>
    <mergeCell ref="A44:B44"/>
    <mergeCell ref="A1:H1"/>
    <mergeCell ref="A2:H2"/>
    <mergeCell ref="A40:B40"/>
    <mergeCell ref="A41:B41"/>
    <mergeCell ref="A42:B42"/>
  </mergeCells>
  <phoneticPr fontId="0" type="noConversion"/>
  <conditionalFormatting sqref="B4">
    <cfRule type="duplicateValues" dxfId="20" priority="1"/>
  </conditionalFormatting>
  <printOptions horizontalCentered="1" verticalCentered="1"/>
  <pageMargins left="0.25" right="0.25" top="0.25" bottom="0.25" header="0" footer="0"/>
  <pageSetup scale="64" orientation="portrait" r:id="rId1"/>
  <headerFooter alignWithMargins="0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NameVal!$A:$A</xm:f>
          </x14:formula1>
          <xm:sqref>B4:B37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3" tint="0.79998168889431442"/>
    <pageSetUpPr fitToPage="1"/>
  </sheetPr>
  <dimension ref="A1:J33"/>
  <sheetViews>
    <sheetView zoomScale="70" zoomScaleNormal="70" workbookViewId="0">
      <selection activeCell="I32" sqref="A1:I32"/>
    </sheetView>
  </sheetViews>
  <sheetFormatPr defaultColWidth="9.140625" defaultRowHeight="15.75" x14ac:dyDescent="0.25"/>
  <cols>
    <col min="1" max="1" width="7.28515625" style="5" bestFit="1" customWidth="1"/>
    <col min="2" max="2" width="32" style="10" customWidth="1"/>
    <col min="3" max="3" width="25.42578125" style="1" bestFit="1" customWidth="1"/>
    <col min="4" max="4" width="16.7109375" style="1" bestFit="1" customWidth="1"/>
    <col min="5" max="5" width="22" style="1" bestFit="1" customWidth="1"/>
    <col min="6" max="6" width="16" style="1" bestFit="1" customWidth="1"/>
    <col min="7" max="7" width="20" style="1" bestFit="1" customWidth="1"/>
    <col min="8" max="8" width="21.42578125" style="7" bestFit="1" customWidth="1"/>
    <col min="9" max="9" width="9.140625" style="2"/>
    <col min="10" max="10" width="7.28515625" style="2" bestFit="1" customWidth="1"/>
    <col min="11" max="16384" width="9.140625" style="2"/>
  </cols>
  <sheetData>
    <row r="1" spans="1:10" ht="31.5" x14ac:dyDescent="0.6">
      <c r="A1" s="175" t="s">
        <v>254</v>
      </c>
      <c r="B1" s="175"/>
      <c r="C1" s="175"/>
      <c r="D1" s="175"/>
      <c r="E1" s="175"/>
      <c r="F1" s="175"/>
      <c r="G1" s="175"/>
      <c r="H1" s="175"/>
    </row>
    <row r="2" spans="1:10" ht="20.25" x14ac:dyDescent="0.3">
      <c r="A2" s="176" t="s">
        <v>252</v>
      </c>
      <c r="B2" s="176"/>
      <c r="C2" s="176"/>
      <c r="D2" s="176"/>
      <c r="E2" s="176"/>
      <c r="F2" s="176"/>
      <c r="G2" s="176"/>
      <c r="H2" s="176"/>
    </row>
    <row r="3" spans="1:10" x14ac:dyDescent="0.25">
      <c r="A3" s="82" t="s">
        <v>175</v>
      </c>
      <c r="B3" s="90" t="s">
        <v>22</v>
      </c>
      <c r="C3" s="91" t="s">
        <v>204</v>
      </c>
      <c r="D3" s="92" t="s">
        <v>174</v>
      </c>
      <c r="E3" s="92" t="s">
        <v>205</v>
      </c>
      <c r="F3" s="92" t="s">
        <v>172</v>
      </c>
      <c r="G3" s="92" t="s">
        <v>206</v>
      </c>
      <c r="H3" s="93" t="s">
        <v>207</v>
      </c>
      <c r="I3"/>
      <c r="J3" s="7"/>
    </row>
    <row r="4" spans="1:10" ht="15" x14ac:dyDescent="0.2">
      <c r="A4" s="102">
        <v>1</v>
      </c>
      <c r="B4" s="28" t="s">
        <v>223</v>
      </c>
      <c r="C4" s="102">
        <v>5</v>
      </c>
      <c r="D4" s="105">
        <v>3.34</v>
      </c>
      <c r="E4" s="105">
        <v>13.18</v>
      </c>
      <c r="F4" s="105"/>
      <c r="G4" s="105">
        <f t="shared" ref="G4:G24" si="0">E4-F4</f>
        <v>13.18</v>
      </c>
      <c r="H4" s="149">
        <f t="shared" ref="H4:H24" si="1">IF(A4&lt;31,33-A4,2)</f>
        <v>32</v>
      </c>
      <c r="I4"/>
      <c r="J4" s="7"/>
    </row>
    <row r="5" spans="1:10" s="3" customFormat="1" ht="15" x14ac:dyDescent="0.2">
      <c r="A5" s="102">
        <v>2</v>
      </c>
      <c r="B5" s="102" t="s">
        <v>232</v>
      </c>
      <c r="C5" s="102">
        <v>5</v>
      </c>
      <c r="D5" s="105">
        <v>3.28</v>
      </c>
      <c r="E5" s="105">
        <v>12.7</v>
      </c>
      <c r="F5" s="105"/>
      <c r="G5" s="105">
        <f t="shared" si="0"/>
        <v>12.7</v>
      </c>
      <c r="H5" s="149">
        <f t="shared" si="1"/>
        <v>31</v>
      </c>
      <c r="J5" s="25"/>
    </row>
    <row r="6" spans="1:10" s="3" customFormat="1" ht="15" x14ac:dyDescent="0.2">
      <c r="A6" s="102">
        <v>3</v>
      </c>
      <c r="B6" s="102" t="s">
        <v>54</v>
      </c>
      <c r="C6" s="102">
        <v>5</v>
      </c>
      <c r="D6" s="105">
        <v>2.57</v>
      </c>
      <c r="E6" s="105">
        <v>12.04</v>
      </c>
      <c r="F6" s="105"/>
      <c r="G6" s="105">
        <f t="shared" si="0"/>
        <v>12.04</v>
      </c>
      <c r="H6" s="149">
        <f t="shared" si="1"/>
        <v>30</v>
      </c>
      <c r="J6" s="25"/>
    </row>
    <row r="7" spans="1:10" ht="15" x14ac:dyDescent="0.2">
      <c r="A7" s="102">
        <v>4</v>
      </c>
      <c r="B7" s="102" t="s">
        <v>224</v>
      </c>
      <c r="C7" s="102">
        <v>5</v>
      </c>
      <c r="D7" s="105">
        <v>2.23</v>
      </c>
      <c r="E7" s="105">
        <v>10.64</v>
      </c>
      <c r="F7" s="105"/>
      <c r="G7" s="105">
        <f t="shared" si="0"/>
        <v>10.64</v>
      </c>
      <c r="H7" s="149">
        <f t="shared" si="1"/>
        <v>29</v>
      </c>
    </row>
    <row r="8" spans="1:10" s="3" customFormat="1" ht="15" x14ac:dyDescent="0.2">
      <c r="A8" s="102">
        <v>5</v>
      </c>
      <c r="B8" s="102" t="s">
        <v>112</v>
      </c>
      <c r="C8" s="102">
        <v>5</v>
      </c>
      <c r="D8" s="105">
        <v>2.66</v>
      </c>
      <c r="E8" s="105">
        <v>10.19</v>
      </c>
      <c r="F8" s="105"/>
      <c r="G8" s="105">
        <f t="shared" si="0"/>
        <v>10.19</v>
      </c>
      <c r="H8" s="149">
        <f t="shared" si="1"/>
        <v>28</v>
      </c>
      <c r="J8" s="25"/>
    </row>
    <row r="9" spans="1:10" s="3" customFormat="1" ht="15" x14ac:dyDescent="0.2">
      <c r="A9" s="102">
        <v>6</v>
      </c>
      <c r="B9" s="102" t="s">
        <v>84</v>
      </c>
      <c r="C9" s="102">
        <v>5</v>
      </c>
      <c r="D9" s="105">
        <v>2.36</v>
      </c>
      <c r="E9" s="105">
        <v>10.1</v>
      </c>
      <c r="F9" s="105"/>
      <c r="G9" s="105">
        <f t="shared" si="0"/>
        <v>10.1</v>
      </c>
      <c r="H9" s="149">
        <f t="shared" si="1"/>
        <v>27</v>
      </c>
      <c r="J9" s="25"/>
    </row>
    <row r="10" spans="1:10" s="3" customFormat="1" ht="15" x14ac:dyDescent="0.2">
      <c r="A10" s="102">
        <v>7</v>
      </c>
      <c r="B10" s="102" t="s">
        <v>168</v>
      </c>
      <c r="C10" s="102">
        <v>5</v>
      </c>
      <c r="D10" s="105">
        <v>2</v>
      </c>
      <c r="E10" s="105">
        <v>9.08</v>
      </c>
      <c r="F10" s="105"/>
      <c r="G10" s="105">
        <f t="shared" si="0"/>
        <v>9.08</v>
      </c>
      <c r="H10" s="149">
        <f t="shared" si="1"/>
        <v>26</v>
      </c>
      <c r="J10" s="25"/>
    </row>
    <row r="11" spans="1:10" s="3" customFormat="1" ht="15" x14ac:dyDescent="0.2">
      <c r="A11" s="102">
        <v>8</v>
      </c>
      <c r="B11" s="102" t="s">
        <v>33</v>
      </c>
      <c r="C11" s="102">
        <v>5</v>
      </c>
      <c r="D11" s="105">
        <v>2.1</v>
      </c>
      <c r="E11" s="105">
        <v>9.16</v>
      </c>
      <c r="F11" s="105">
        <v>0.25</v>
      </c>
      <c r="G11" s="105">
        <f t="shared" si="0"/>
        <v>8.91</v>
      </c>
      <c r="H11" s="149">
        <f t="shared" si="1"/>
        <v>25</v>
      </c>
      <c r="J11" s="25"/>
    </row>
    <row r="12" spans="1:10" s="3" customFormat="1" ht="15" x14ac:dyDescent="0.2">
      <c r="A12" s="102">
        <v>9</v>
      </c>
      <c r="B12" s="102" t="s">
        <v>48</v>
      </c>
      <c r="C12" s="102">
        <v>5</v>
      </c>
      <c r="D12" s="105">
        <v>2.41</v>
      </c>
      <c r="E12" s="105">
        <v>8.8800000000000008</v>
      </c>
      <c r="F12" s="105"/>
      <c r="G12" s="105">
        <f t="shared" si="0"/>
        <v>8.8800000000000008</v>
      </c>
      <c r="H12" s="149">
        <f t="shared" si="1"/>
        <v>24</v>
      </c>
      <c r="J12" s="25"/>
    </row>
    <row r="13" spans="1:10" s="3" customFormat="1" ht="15" x14ac:dyDescent="0.2">
      <c r="A13" s="102">
        <v>10</v>
      </c>
      <c r="B13" s="102" t="s">
        <v>100</v>
      </c>
      <c r="C13" s="102">
        <v>5</v>
      </c>
      <c r="D13" s="105">
        <v>2.17</v>
      </c>
      <c r="E13" s="105">
        <v>8.58</v>
      </c>
      <c r="F13" s="105"/>
      <c r="G13" s="105">
        <f t="shared" si="0"/>
        <v>8.58</v>
      </c>
      <c r="H13" s="149">
        <f t="shared" si="1"/>
        <v>23</v>
      </c>
      <c r="I13" s="14"/>
      <c r="J13" s="25"/>
    </row>
    <row r="14" spans="1:10" s="3" customFormat="1" ht="15" x14ac:dyDescent="0.2">
      <c r="A14" s="102">
        <v>11</v>
      </c>
      <c r="B14" s="102" t="s">
        <v>266</v>
      </c>
      <c r="C14" s="102">
        <v>5</v>
      </c>
      <c r="D14" s="105">
        <v>1.54</v>
      </c>
      <c r="E14" s="105">
        <v>6.81</v>
      </c>
      <c r="F14" s="105"/>
      <c r="G14" s="105">
        <f t="shared" si="0"/>
        <v>6.81</v>
      </c>
      <c r="H14" s="149">
        <f t="shared" si="1"/>
        <v>22</v>
      </c>
      <c r="J14" s="25"/>
    </row>
    <row r="15" spans="1:10" s="3" customFormat="1" ht="15" x14ac:dyDescent="0.2">
      <c r="A15" s="102">
        <v>12</v>
      </c>
      <c r="B15" s="102" t="s">
        <v>59</v>
      </c>
      <c r="C15" s="102">
        <v>3</v>
      </c>
      <c r="D15" s="105">
        <v>2.37</v>
      </c>
      <c r="E15" s="105">
        <v>6.26</v>
      </c>
      <c r="F15" s="105"/>
      <c r="G15" s="105">
        <f t="shared" si="0"/>
        <v>6.26</v>
      </c>
      <c r="H15" s="149">
        <f t="shared" si="1"/>
        <v>21</v>
      </c>
      <c r="I15" s="14"/>
      <c r="J15" s="25"/>
    </row>
    <row r="16" spans="1:10" s="3" customFormat="1" ht="15" x14ac:dyDescent="0.2">
      <c r="A16" s="102">
        <v>13</v>
      </c>
      <c r="B16" s="102" t="s">
        <v>269</v>
      </c>
      <c r="C16" s="102">
        <v>4</v>
      </c>
      <c r="D16" s="105">
        <v>1.73</v>
      </c>
      <c r="E16" s="105">
        <v>6.14</v>
      </c>
      <c r="F16" s="105">
        <v>0.25</v>
      </c>
      <c r="G16" s="105">
        <f t="shared" si="0"/>
        <v>5.89</v>
      </c>
      <c r="H16" s="149">
        <f t="shared" si="1"/>
        <v>20</v>
      </c>
      <c r="J16" s="25"/>
    </row>
    <row r="17" spans="1:10" s="3" customFormat="1" ht="15" x14ac:dyDescent="0.2">
      <c r="A17" s="102">
        <v>14</v>
      </c>
      <c r="B17" s="125" t="s">
        <v>229</v>
      </c>
      <c r="C17" s="125">
        <v>4</v>
      </c>
      <c r="D17" s="126">
        <v>1.74</v>
      </c>
      <c r="E17" s="126">
        <v>5.68</v>
      </c>
      <c r="F17" s="126"/>
      <c r="G17" s="126">
        <f t="shared" si="0"/>
        <v>5.68</v>
      </c>
      <c r="H17" s="149">
        <f t="shared" si="1"/>
        <v>19</v>
      </c>
      <c r="J17" s="25"/>
    </row>
    <row r="18" spans="1:10" s="3" customFormat="1" ht="15" x14ac:dyDescent="0.2">
      <c r="A18" s="102">
        <v>15</v>
      </c>
      <c r="B18" s="125" t="s">
        <v>227</v>
      </c>
      <c r="C18" s="125">
        <v>4</v>
      </c>
      <c r="D18" s="126">
        <v>2.06</v>
      </c>
      <c r="E18" s="126">
        <v>5.63</v>
      </c>
      <c r="F18" s="126"/>
      <c r="G18" s="126">
        <f t="shared" si="0"/>
        <v>5.63</v>
      </c>
      <c r="H18" s="149">
        <f t="shared" si="1"/>
        <v>18</v>
      </c>
      <c r="J18" s="25"/>
    </row>
    <row r="19" spans="1:10" s="3" customFormat="1" ht="15" x14ac:dyDescent="0.2">
      <c r="A19" s="102">
        <v>16</v>
      </c>
      <c r="B19" s="125" t="s">
        <v>238</v>
      </c>
      <c r="C19" s="125">
        <v>2</v>
      </c>
      <c r="D19" s="126">
        <v>2.94</v>
      </c>
      <c r="E19" s="126">
        <v>5</v>
      </c>
      <c r="F19" s="126"/>
      <c r="G19" s="126">
        <f t="shared" si="0"/>
        <v>5</v>
      </c>
      <c r="H19" s="149">
        <f t="shared" si="1"/>
        <v>17</v>
      </c>
      <c r="J19" s="25"/>
    </row>
    <row r="20" spans="1:10" s="3" customFormat="1" ht="15" x14ac:dyDescent="0.2">
      <c r="A20" s="102">
        <v>17</v>
      </c>
      <c r="B20" s="125" t="s">
        <v>163</v>
      </c>
      <c r="C20" s="125">
        <v>3</v>
      </c>
      <c r="D20" s="126">
        <v>1.45</v>
      </c>
      <c r="E20" s="126">
        <v>4.62</v>
      </c>
      <c r="F20" s="126"/>
      <c r="G20" s="126">
        <f t="shared" si="0"/>
        <v>4.62</v>
      </c>
      <c r="H20" s="149">
        <f t="shared" si="1"/>
        <v>16</v>
      </c>
      <c r="J20" s="25"/>
    </row>
    <row r="21" spans="1:10" s="3" customFormat="1" ht="15" x14ac:dyDescent="0.2">
      <c r="A21" s="102">
        <v>18</v>
      </c>
      <c r="B21" s="125" t="s">
        <v>56</v>
      </c>
      <c r="C21" s="125">
        <v>3</v>
      </c>
      <c r="D21" s="126">
        <v>2.0299999999999998</v>
      </c>
      <c r="E21" s="126">
        <v>4.24</v>
      </c>
      <c r="F21" s="126"/>
      <c r="G21" s="126">
        <f t="shared" si="0"/>
        <v>4.24</v>
      </c>
      <c r="H21" s="149">
        <f t="shared" si="1"/>
        <v>15</v>
      </c>
      <c r="J21" s="25"/>
    </row>
    <row r="22" spans="1:10" s="3" customFormat="1" ht="15" x14ac:dyDescent="0.2">
      <c r="A22" s="102">
        <v>19</v>
      </c>
      <c r="B22" s="125" t="s">
        <v>75</v>
      </c>
      <c r="C22" s="125">
        <v>2</v>
      </c>
      <c r="D22" s="126">
        <v>2.36</v>
      </c>
      <c r="E22" s="126">
        <v>4.17</v>
      </c>
      <c r="F22" s="126"/>
      <c r="G22" s="126">
        <f t="shared" si="0"/>
        <v>4.17</v>
      </c>
      <c r="H22" s="149">
        <f t="shared" si="1"/>
        <v>14</v>
      </c>
      <c r="J22" s="25"/>
    </row>
    <row r="23" spans="1:10" s="3" customFormat="1" ht="15" x14ac:dyDescent="0.2">
      <c r="A23" s="102">
        <v>20</v>
      </c>
      <c r="B23" s="125" t="s">
        <v>81</v>
      </c>
      <c r="C23" s="125">
        <v>2</v>
      </c>
      <c r="D23" s="126">
        <v>2.58</v>
      </c>
      <c r="E23" s="126">
        <v>3.65</v>
      </c>
      <c r="F23" s="126"/>
      <c r="G23" s="126">
        <f t="shared" si="0"/>
        <v>3.65</v>
      </c>
      <c r="H23" s="149">
        <f t="shared" si="1"/>
        <v>13</v>
      </c>
      <c r="J23" s="25"/>
    </row>
    <row r="24" spans="1:10" s="3" customFormat="1" ht="15" x14ac:dyDescent="0.2">
      <c r="A24" s="102">
        <v>21</v>
      </c>
      <c r="B24" s="125" t="s">
        <v>31</v>
      </c>
      <c r="C24" s="125">
        <v>2</v>
      </c>
      <c r="D24" s="126">
        <v>1.25</v>
      </c>
      <c r="E24" s="126">
        <v>2.19</v>
      </c>
      <c r="F24" s="126"/>
      <c r="G24" s="126">
        <f t="shared" si="0"/>
        <v>2.19</v>
      </c>
      <c r="H24" s="149">
        <f t="shared" si="1"/>
        <v>12</v>
      </c>
      <c r="J24" s="25"/>
    </row>
    <row r="25" spans="1:10" s="3" customFormat="1" ht="15" x14ac:dyDescent="0.2">
      <c r="A25" s="102">
        <v>22</v>
      </c>
      <c r="B25" s="102" t="s">
        <v>221</v>
      </c>
      <c r="C25" s="102">
        <v>0</v>
      </c>
      <c r="D25" s="105">
        <v>0</v>
      </c>
      <c r="E25" s="105">
        <v>0</v>
      </c>
      <c r="F25" s="105"/>
      <c r="G25" s="105">
        <f>E25-F25</f>
        <v>0</v>
      </c>
      <c r="H25" s="184">
        <v>2</v>
      </c>
      <c r="J25" s="25"/>
    </row>
    <row r="26" spans="1:10" s="3" customFormat="1" ht="15" x14ac:dyDescent="0.2">
      <c r="A26" s="103"/>
      <c r="B26" s="135"/>
      <c r="C26" s="135"/>
      <c r="D26" s="136"/>
      <c r="E26" s="136"/>
      <c r="F26" s="136"/>
      <c r="G26" s="136"/>
      <c r="H26" s="52"/>
      <c r="J26" s="25"/>
    </row>
    <row r="27" spans="1:10" ht="15.75" customHeight="1" x14ac:dyDescent="0.2">
      <c r="A27" s="156" t="s">
        <v>85</v>
      </c>
      <c r="B27" s="156"/>
      <c r="C27" s="38">
        <f>COUNT(table10[Number of Fish])</f>
        <v>22</v>
      </c>
      <c r="D27" s="38"/>
      <c r="E27" s="38"/>
      <c r="F27" s="39"/>
      <c r="G27" s="39"/>
      <c r="H27" s="47"/>
    </row>
    <row r="28" spans="1:10" ht="15.75" customHeight="1" x14ac:dyDescent="0.2">
      <c r="A28" s="156" t="s">
        <v>86</v>
      </c>
      <c r="B28" s="156"/>
      <c r="C28" s="38">
        <f>SUM(table10[Number of Fish])</f>
        <v>84</v>
      </c>
      <c r="D28" s="38"/>
      <c r="E28" s="38"/>
      <c r="F28" s="39"/>
      <c r="G28" s="39"/>
      <c r="H28" s="47"/>
    </row>
    <row r="29" spans="1:10" ht="15.75" customHeight="1" x14ac:dyDescent="0.2">
      <c r="A29" s="156" t="s">
        <v>87</v>
      </c>
      <c r="B29" s="156"/>
      <c r="C29" s="39">
        <f>SUM(table10[Total Weight])</f>
        <v>158.94</v>
      </c>
      <c r="D29" s="38"/>
      <c r="E29" s="39"/>
      <c r="F29" s="39"/>
      <c r="G29" s="39"/>
      <c r="H29" s="46"/>
    </row>
    <row r="30" spans="1:10" ht="15.75" customHeight="1" x14ac:dyDescent="0.2">
      <c r="A30" s="156" t="s">
        <v>88</v>
      </c>
      <c r="B30" s="156"/>
      <c r="C30" s="39">
        <f>C29/C28</f>
        <v>1.8921428571428571</v>
      </c>
      <c r="D30" s="38"/>
      <c r="E30" s="48"/>
      <c r="F30" s="39"/>
      <c r="G30" s="39"/>
      <c r="H30" s="46"/>
    </row>
    <row r="31" spans="1:10" ht="15.75" customHeight="1" x14ac:dyDescent="0.2">
      <c r="A31" s="156" t="s">
        <v>89</v>
      </c>
      <c r="B31" s="156"/>
      <c r="C31" s="38">
        <f>C28/C27</f>
        <v>3.8181818181818183</v>
      </c>
      <c r="D31" s="38"/>
      <c r="E31" s="39"/>
      <c r="F31" s="39"/>
      <c r="G31" s="39"/>
      <c r="H31" s="46"/>
    </row>
    <row r="32" spans="1:10" ht="15.75" customHeight="1" x14ac:dyDescent="0.25"/>
    <row r="33" ht="15.75" customHeight="1" x14ac:dyDescent="0.25"/>
  </sheetData>
  <mergeCells count="7">
    <mergeCell ref="A30:B30"/>
    <mergeCell ref="A31:B31"/>
    <mergeCell ref="A1:H1"/>
    <mergeCell ref="A2:H2"/>
    <mergeCell ref="A27:B27"/>
    <mergeCell ref="A28:B28"/>
    <mergeCell ref="A29:B29"/>
  </mergeCells>
  <phoneticPr fontId="0" type="noConversion"/>
  <conditionalFormatting sqref="B4">
    <cfRule type="duplicateValues" dxfId="10" priority="2"/>
  </conditionalFormatting>
  <conditionalFormatting sqref="B25">
    <cfRule type="duplicateValues" dxfId="1" priority="1"/>
  </conditionalFormatting>
  <printOptions horizontalCentered="1"/>
  <pageMargins left="0.25" right="0.25" top="1" bottom="0.5" header="0" footer="0"/>
  <pageSetup scale="64" orientation="portrait" r:id="rId1"/>
  <headerFooter alignWithMargins="0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NameVal!$A:$A</xm:f>
          </x14:formula1>
          <xm:sqref>B4:B26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G23"/>
  <sheetViews>
    <sheetView zoomScale="85" zoomScaleNormal="85" workbookViewId="0">
      <selection sqref="A1:N1"/>
    </sheetView>
  </sheetViews>
  <sheetFormatPr defaultRowHeight="12.75" x14ac:dyDescent="0.2"/>
  <cols>
    <col min="1" max="1" width="7.5703125" bestFit="1" customWidth="1"/>
    <col min="2" max="2" width="19.42578125" bestFit="1" customWidth="1"/>
    <col min="3" max="3" width="22.85546875" bestFit="1" customWidth="1"/>
    <col min="4" max="4" width="16.140625" bestFit="1" customWidth="1"/>
    <col min="5" max="5" width="21.28515625" bestFit="1" customWidth="1"/>
    <col min="6" max="6" width="15.140625" bestFit="1" customWidth="1"/>
    <col min="7" max="7" width="19.5703125" bestFit="1" customWidth="1"/>
  </cols>
  <sheetData>
    <row r="1" spans="1:7" s="23" customFormat="1" ht="34.5" customHeight="1" x14ac:dyDescent="0.6">
      <c r="A1" s="179" t="s">
        <v>106</v>
      </c>
      <c r="B1" s="179"/>
      <c r="C1" s="179"/>
      <c r="D1" s="179"/>
      <c r="E1" s="179"/>
      <c r="F1" s="179"/>
      <c r="G1" s="179"/>
    </row>
    <row r="2" spans="1:7" ht="31.5" customHeight="1" x14ac:dyDescent="0.6">
      <c r="A2" s="179" t="s">
        <v>253</v>
      </c>
      <c r="B2" s="179"/>
      <c r="C2" s="179"/>
      <c r="D2" s="179"/>
      <c r="E2" s="179"/>
      <c r="F2" s="179"/>
      <c r="G2" s="179"/>
    </row>
    <row r="3" spans="1:7" ht="20.25" customHeight="1" x14ac:dyDescent="0.3">
      <c r="A3" s="180"/>
      <c r="B3" s="180"/>
      <c r="C3" s="180"/>
      <c r="D3" s="180"/>
      <c r="E3" s="180"/>
      <c r="F3" s="180"/>
      <c r="G3" s="180"/>
    </row>
    <row r="4" spans="1:7" ht="15.75" x14ac:dyDescent="0.25">
      <c r="A4" s="82" t="s">
        <v>175</v>
      </c>
      <c r="B4" s="90" t="s">
        <v>22</v>
      </c>
      <c r="C4" s="91" t="s">
        <v>204</v>
      </c>
      <c r="D4" s="92" t="s">
        <v>174</v>
      </c>
      <c r="E4" s="92" t="s">
        <v>205</v>
      </c>
      <c r="F4" s="92" t="s">
        <v>172</v>
      </c>
      <c r="G4" s="92" t="s">
        <v>206</v>
      </c>
    </row>
    <row r="5" spans="1:7" ht="15" x14ac:dyDescent="0.2">
      <c r="A5" s="84">
        <v>1</v>
      </c>
      <c r="B5" s="84" t="str">
        <f>'Otay 1'!B4</f>
        <v>Nick Meyer</v>
      </c>
      <c r="C5" s="84"/>
      <c r="D5" s="85"/>
      <c r="E5" s="85"/>
      <c r="F5" s="85"/>
      <c r="G5" s="85">
        <f t="shared" ref="G5:G14" si="0">E5-F5</f>
        <v>0</v>
      </c>
    </row>
    <row r="6" spans="1:7" ht="15" x14ac:dyDescent="0.2">
      <c r="A6" s="87">
        <v>2</v>
      </c>
      <c r="B6" s="87" t="str">
        <f>'Lake Mohave'!B5</f>
        <v>Nick Meyer</v>
      </c>
      <c r="C6" s="87"/>
      <c r="D6" s="88"/>
      <c r="E6" s="88"/>
      <c r="F6" s="88"/>
      <c r="G6" s="88">
        <f t="shared" si="0"/>
        <v>0</v>
      </c>
    </row>
    <row r="7" spans="1:7" ht="15" x14ac:dyDescent="0.2">
      <c r="A7" s="84">
        <v>3</v>
      </c>
      <c r="B7" s="84" t="str">
        <f>'Otay 2'!B5</f>
        <v>Nick Meyer</v>
      </c>
      <c r="C7" s="84"/>
      <c r="D7" s="85"/>
      <c r="E7" s="85"/>
      <c r="F7" s="85"/>
      <c r="G7" s="85">
        <f t="shared" si="0"/>
        <v>0</v>
      </c>
    </row>
    <row r="8" spans="1:7" ht="15" x14ac:dyDescent="0.2">
      <c r="A8" s="87">
        <v>4</v>
      </c>
      <c r="B8" s="84" t="str">
        <f>Havasu!B5</f>
        <v>Nick Meyer</v>
      </c>
      <c r="C8" s="87"/>
      <c r="D8" s="88"/>
      <c r="E8" s="88"/>
      <c r="F8" s="88"/>
      <c r="G8" s="88">
        <f t="shared" si="0"/>
        <v>0</v>
      </c>
    </row>
    <row r="9" spans="1:7" ht="15" x14ac:dyDescent="0.2">
      <c r="A9" s="84">
        <v>5</v>
      </c>
      <c r="B9" s="84" t="str">
        <f>'El Cap (6 hour)'!B4</f>
        <v>Bruce Smith</v>
      </c>
      <c r="C9" s="102"/>
      <c r="D9" s="105"/>
      <c r="E9" s="105"/>
      <c r="F9" s="105"/>
      <c r="G9" s="105">
        <f t="shared" si="0"/>
        <v>0</v>
      </c>
    </row>
    <row r="10" spans="1:7" ht="15" x14ac:dyDescent="0.2">
      <c r="A10" s="87">
        <v>6</v>
      </c>
      <c r="B10" s="87" t="str">
        <f>'San V Night'!B4</f>
        <v>Keith Cloward</v>
      </c>
      <c r="C10" s="102"/>
      <c r="D10" s="105"/>
      <c r="E10" s="105"/>
      <c r="F10" s="105"/>
      <c r="G10" s="105">
        <f t="shared" si="0"/>
        <v>0</v>
      </c>
    </row>
    <row r="11" spans="1:7" ht="15" x14ac:dyDescent="0.2">
      <c r="A11" s="84">
        <v>7</v>
      </c>
      <c r="B11" s="84" t="str">
        <f>'El Cap Night'!B4</f>
        <v>Brandon Kuehl</v>
      </c>
      <c r="C11" s="102"/>
      <c r="D11" s="105"/>
      <c r="E11" s="105"/>
      <c r="F11" s="105"/>
      <c r="G11" s="105">
        <f t="shared" si="0"/>
        <v>0</v>
      </c>
    </row>
    <row r="12" spans="1:7" ht="15" x14ac:dyDescent="0.2">
      <c r="A12" s="87">
        <v>8</v>
      </c>
      <c r="B12" s="84" t="str">
        <f>'El Cap (6 hour) 2'!B4</f>
        <v>Brandon Kuehl</v>
      </c>
      <c r="C12" s="102"/>
      <c r="D12" s="105"/>
      <c r="E12" s="105"/>
      <c r="F12" s="105"/>
      <c r="G12" s="105">
        <f t="shared" si="0"/>
        <v>0</v>
      </c>
    </row>
    <row r="13" spans="1:7" ht="15" x14ac:dyDescent="0.2">
      <c r="A13" s="84">
        <v>9</v>
      </c>
      <c r="B13" s="84" t="str">
        <f>LCR!B5</f>
        <v>Bruce Smith</v>
      </c>
      <c r="C13" s="102"/>
      <c r="D13" s="105"/>
      <c r="E13" s="105"/>
      <c r="F13" s="105"/>
      <c r="G13" s="105">
        <f t="shared" si="0"/>
        <v>0</v>
      </c>
    </row>
    <row r="14" spans="1:7" ht="15" x14ac:dyDescent="0.2">
      <c r="A14" s="87">
        <v>10</v>
      </c>
      <c r="B14" s="84" t="str">
        <f>'San V'!B4</f>
        <v>Brandon Kuehl</v>
      </c>
      <c r="C14" s="102"/>
      <c r="D14" s="105"/>
      <c r="E14" s="105"/>
      <c r="F14" s="105"/>
      <c r="G14" s="105">
        <f t="shared" si="0"/>
        <v>0</v>
      </c>
    </row>
    <row r="15" spans="1:7" ht="15" x14ac:dyDescent="0.2">
      <c r="A15" s="103"/>
      <c r="B15" s="103"/>
      <c r="C15" s="103"/>
      <c r="D15" s="104"/>
      <c r="E15" s="104"/>
      <c r="F15" s="104"/>
      <c r="G15" s="104"/>
    </row>
    <row r="16" spans="1:7" ht="15" x14ac:dyDescent="0.2">
      <c r="A16" s="26"/>
      <c r="B16" s="26"/>
      <c r="C16" s="26"/>
      <c r="D16" s="26"/>
      <c r="E16" s="27"/>
      <c r="F16" s="27"/>
      <c r="G16" s="27"/>
    </row>
    <row r="17" spans="1:7" ht="15" x14ac:dyDescent="0.2">
      <c r="A17" s="156" t="s">
        <v>85</v>
      </c>
      <c r="B17" s="156"/>
      <c r="C17" s="38">
        <v>0</v>
      </c>
      <c r="D17" s="38"/>
      <c r="E17" s="38"/>
      <c r="F17" s="39"/>
      <c r="G17" s="39"/>
    </row>
    <row r="18" spans="1:7" ht="15" x14ac:dyDescent="0.2">
      <c r="A18" s="156" t="s">
        <v>86</v>
      </c>
      <c r="B18" s="156"/>
      <c r="C18" s="38">
        <v>0</v>
      </c>
      <c r="D18" s="38"/>
      <c r="E18" s="38"/>
      <c r="F18" s="39"/>
      <c r="G18" s="39"/>
    </row>
    <row r="19" spans="1:7" ht="15" x14ac:dyDescent="0.2">
      <c r="A19" s="156" t="s">
        <v>87</v>
      </c>
      <c r="B19" s="156"/>
      <c r="C19" s="39">
        <v>0</v>
      </c>
      <c r="D19" s="38"/>
      <c r="E19" s="39"/>
      <c r="F19" s="39"/>
      <c r="G19" s="39"/>
    </row>
    <row r="20" spans="1:7" ht="15" x14ac:dyDescent="0.2">
      <c r="A20" s="156" t="s">
        <v>88</v>
      </c>
      <c r="B20" s="156"/>
      <c r="C20" s="39" t="e">
        <f>C19/C18</f>
        <v>#DIV/0!</v>
      </c>
      <c r="D20" s="38"/>
      <c r="E20" s="48"/>
      <c r="F20" s="39"/>
      <c r="G20" s="39"/>
    </row>
    <row r="21" spans="1:7" ht="15" x14ac:dyDescent="0.2">
      <c r="A21" s="156" t="s">
        <v>89</v>
      </c>
      <c r="B21" s="156"/>
      <c r="C21" s="38" t="e">
        <f>C18/C17</f>
        <v>#DIV/0!</v>
      </c>
      <c r="D21" s="38"/>
      <c r="E21" s="39"/>
      <c r="F21" s="39"/>
      <c r="G21" s="39"/>
    </row>
    <row r="22" spans="1:7" x14ac:dyDescent="0.2">
      <c r="A22" s="23"/>
      <c r="B22" s="23"/>
      <c r="C22" s="23"/>
      <c r="D22" s="23"/>
      <c r="E22" s="23"/>
      <c r="F22" s="23"/>
      <c r="G22" s="23"/>
    </row>
    <row r="23" spans="1:7" x14ac:dyDescent="0.2">
      <c r="A23" s="23"/>
      <c r="B23" s="23"/>
      <c r="C23" s="23"/>
      <c r="D23" s="23"/>
      <c r="E23" s="23"/>
      <c r="F23" s="23"/>
      <c r="G23" s="23"/>
    </row>
  </sheetData>
  <mergeCells count="8">
    <mergeCell ref="A20:B20"/>
    <mergeCell ref="A21:B21"/>
    <mergeCell ref="A17:B17"/>
    <mergeCell ref="A1:G1"/>
    <mergeCell ref="A2:G2"/>
    <mergeCell ref="A3:G3"/>
    <mergeCell ref="A18:B18"/>
    <mergeCell ref="A19:B19"/>
  </mergeCells>
  <conditionalFormatting sqref="B5:B14">
    <cfRule type="duplicateValues" dxfId="9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R83"/>
  <sheetViews>
    <sheetView tabSelected="1" topLeftCell="A10" zoomScale="70" zoomScaleNormal="70" zoomScaleSheetLayoutView="100" workbookViewId="0">
      <selection activeCell="B10" sqref="B10"/>
    </sheetView>
  </sheetViews>
  <sheetFormatPr defaultRowHeight="12.75" x14ac:dyDescent="0.2"/>
  <cols>
    <col min="1" max="1" width="4.28515625" bestFit="1" customWidth="1"/>
    <col min="2" max="2" width="35.42578125" customWidth="1"/>
    <col min="3" max="3" width="14.5703125" style="21" customWidth="1"/>
    <col min="4" max="4" width="16.5703125" style="13" bestFit="1" customWidth="1"/>
    <col min="5" max="5" width="20.42578125" bestFit="1" customWidth="1"/>
    <col min="6" max="6" width="20.85546875" style="23" bestFit="1" customWidth="1"/>
    <col min="7" max="7" width="24.5703125" bestFit="1" customWidth="1"/>
    <col min="8" max="8" width="18" bestFit="1" customWidth="1"/>
    <col min="9" max="9" width="26.140625" bestFit="1" customWidth="1"/>
    <col min="10" max="10" width="24.5703125" bestFit="1" customWidth="1"/>
    <col min="11" max="11" width="21.42578125" bestFit="1" customWidth="1"/>
    <col min="12" max="12" width="26.42578125" bestFit="1" customWidth="1"/>
    <col min="13" max="13" width="18.85546875" bestFit="1" customWidth="1"/>
    <col min="14" max="14" width="12.42578125" customWidth="1"/>
  </cols>
  <sheetData>
    <row r="1" spans="1:18" ht="45.6" customHeight="1" x14ac:dyDescent="0.7">
      <c r="A1" s="182" t="s">
        <v>240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8" ht="51.6" customHeight="1" x14ac:dyDescent="0.7">
      <c r="A2" s="182" t="s">
        <v>257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8" ht="15.75" x14ac:dyDescent="0.25">
      <c r="A3" s="15"/>
      <c r="B3" s="22" t="s">
        <v>220</v>
      </c>
      <c r="C3" s="22" t="s">
        <v>174</v>
      </c>
      <c r="D3" s="20" t="s">
        <v>208</v>
      </c>
      <c r="E3" s="16" t="s">
        <v>258</v>
      </c>
      <c r="F3" s="16" t="s">
        <v>259</v>
      </c>
      <c r="G3" s="16" t="s">
        <v>242</v>
      </c>
      <c r="H3" s="16" t="s">
        <v>260</v>
      </c>
      <c r="I3" s="16" t="s">
        <v>231</v>
      </c>
      <c r="J3" s="16" t="s">
        <v>255</v>
      </c>
      <c r="K3" s="16" t="s">
        <v>230</v>
      </c>
      <c r="L3" s="16" t="s">
        <v>261</v>
      </c>
      <c r="M3" s="20" t="s">
        <v>254</v>
      </c>
      <c r="N3" s="16" t="s">
        <v>37</v>
      </c>
    </row>
    <row r="4" spans="1:18" ht="15" x14ac:dyDescent="0.2">
      <c r="A4" s="54">
        <v>1</v>
      </c>
      <c r="B4" s="103" t="s">
        <v>100</v>
      </c>
      <c r="C4" s="27">
        <f>IFERROR(VLOOKUP(B4,Table16[],12,FALSE),0)</f>
        <v>7.32</v>
      </c>
      <c r="D4" s="117">
        <f>IFERROR(VLOOKUP($B4,table1[],7, 0),"-")</f>
        <v>32</v>
      </c>
      <c r="E4" s="117">
        <f>IFERROR(VLOOKUP($B4,Table2[],15, 0),"-")</f>
        <v>32</v>
      </c>
      <c r="F4" s="117">
        <f>IFERROR(VLOOKUP($B4,table3[],7, 0),"-")</f>
        <v>32</v>
      </c>
      <c r="G4" s="117">
        <f>IFERROR(VLOOKUP($B4,Table4[],15, 0),"-")</f>
        <v>32</v>
      </c>
      <c r="H4" s="117">
        <f>IFERROR(VLOOKUP($B4,table5[],7, 0),"-")</f>
        <v>29</v>
      </c>
      <c r="I4" s="117">
        <f>IFERROR(VLOOKUP($B4,table6[],7, 0),"-")</f>
        <v>22</v>
      </c>
      <c r="J4" s="117">
        <f>IFERROR(VLOOKUP($B4,table7[],7, 0),"-")</f>
        <v>20</v>
      </c>
      <c r="K4" s="117">
        <f>IFERROR(VLOOKUP($B4,table8[],7, 0),"-")</f>
        <v>22</v>
      </c>
      <c r="L4" s="117">
        <f>IFERROR(VLOOKUP($B4,table9[],15, 0),"-")</f>
        <v>31</v>
      </c>
      <c r="M4" s="117">
        <f>IFERROR(VLOOKUP($B4,table10[],7, 0),"-")</f>
        <v>23</v>
      </c>
      <c r="N4" s="28">
        <f t="shared" ref="N4:N47" si="0">SUM(D4:M4)</f>
        <v>275</v>
      </c>
      <c r="O4" s="27"/>
      <c r="P4" s="6"/>
      <c r="Q4" s="6"/>
      <c r="R4" s="6"/>
    </row>
    <row r="5" spans="1:18" ht="15" x14ac:dyDescent="0.2">
      <c r="A5" s="54">
        <v>2</v>
      </c>
      <c r="B5" s="102" t="s">
        <v>223</v>
      </c>
      <c r="C5" s="27">
        <f>IFERROR(VLOOKUP(B5,Table16[],12,FALSE),0)</f>
        <v>6.86</v>
      </c>
      <c r="D5" s="117">
        <f>IFERROR(VLOOKUP($B5,table1[],7, 0),"-")</f>
        <v>21</v>
      </c>
      <c r="E5" s="117">
        <f>IFERROR(VLOOKUP($B5,Table2[],15, 0),"-")</f>
        <v>28</v>
      </c>
      <c r="F5" s="117">
        <f>IFERROR(VLOOKUP($B5,table3[],7, 0),"-")</f>
        <v>28</v>
      </c>
      <c r="G5" s="117">
        <f>IFERROR(VLOOKUP($B5,Table4[],15, 0),"-")</f>
        <v>20</v>
      </c>
      <c r="H5" s="117">
        <f>IFERROR(VLOOKUP($B5,table5[],7, 0),"-")</f>
        <v>25</v>
      </c>
      <c r="I5" s="117">
        <f>IFERROR(VLOOKUP($B5,table6[],7, 0),"-")</f>
        <v>26</v>
      </c>
      <c r="J5" s="117">
        <f>IFERROR(VLOOKUP($B5,table7[],7, 0),"-")</f>
        <v>32</v>
      </c>
      <c r="K5" s="117">
        <f>IFERROR(VLOOKUP($B5,table8[],7, 0),"-")</f>
        <v>32</v>
      </c>
      <c r="L5" s="117">
        <f>IFERROR(VLOOKUP($B5,table9[],15, 0),"-")</f>
        <v>25</v>
      </c>
      <c r="M5" s="117">
        <f>IFERROR(VLOOKUP($B5,table10[],7, 0),"-")</f>
        <v>32</v>
      </c>
      <c r="N5" s="28">
        <f t="shared" si="0"/>
        <v>269</v>
      </c>
      <c r="O5" s="28"/>
      <c r="P5" s="6"/>
      <c r="Q5" s="6"/>
      <c r="R5" s="6"/>
    </row>
    <row r="6" spans="1:18" ht="15" x14ac:dyDescent="0.2">
      <c r="A6" s="54">
        <v>3</v>
      </c>
      <c r="B6" s="102" t="s">
        <v>224</v>
      </c>
      <c r="C6" s="27">
        <f>IFERROR(VLOOKUP(B6,Table16[],12,FALSE),0)</f>
        <v>10.27</v>
      </c>
      <c r="D6" s="117">
        <f>IFERROR(VLOOKUP($B6,table1[],7, 0),"-")</f>
        <v>26</v>
      </c>
      <c r="E6" s="117">
        <f>IFERROR(VLOOKUP($B6,Table2[],15, 0),"-")</f>
        <v>30</v>
      </c>
      <c r="F6" s="117">
        <f>IFERROR(VLOOKUP($B6,table3[],7, 0),"-")</f>
        <v>26</v>
      </c>
      <c r="G6" s="117">
        <f>IFERROR(VLOOKUP($B6,Table4[],15, 0),"-")</f>
        <v>26</v>
      </c>
      <c r="H6" s="117">
        <f>IFERROR(VLOOKUP($B6,table5[],7, 0),"-")</f>
        <v>32</v>
      </c>
      <c r="I6" s="117">
        <f>IFERROR(VLOOKUP($B6,table6[],7, 0),"-")</f>
        <v>21</v>
      </c>
      <c r="J6" s="117">
        <f>IFERROR(VLOOKUP($B6,table7[],7, 0),"-")</f>
        <v>9</v>
      </c>
      <c r="K6" s="117">
        <f>IFERROR(VLOOKUP($B6,table8[],7, 0),"-")</f>
        <v>27</v>
      </c>
      <c r="L6" s="117">
        <f>IFERROR(VLOOKUP($B6,table9[],15, 0),"-")</f>
        <v>32</v>
      </c>
      <c r="M6" s="117">
        <f>IFERROR(VLOOKUP($B6,table10[],7, 0),"-")</f>
        <v>29</v>
      </c>
      <c r="N6" s="28">
        <f t="shared" si="0"/>
        <v>258</v>
      </c>
      <c r="O6" s="28"/>
      <c r="P6" s="6"/>
      <c r="Q6" s="6"/>
      <c r="R6" s="6"/>
    </row>
    <row r="7" spans="1:18" ht="15" x14ac:dyDescent="0.2">
      <c r="A7" s="54">
        <v>4</v>
      </c>
      <c r="B7" s="139" t="s">
        <v>54</v>
      </c>
      <c r="C7" s="27">
        <f>IFERROR(VLOOKUP(B7,Table16[],12,FALSE),0)</f>
        <v>5.71</v>
      </c>
      <c r="D7" s="117">
        <f>IFERROR(VLOOKUP($B7,table1[],7, 0),"-")</f>
        <v>25</v>
      </c>
      <c r="E7" s="117">
        <f>IFERROR(VLOOKUP($B7,Table2[],15, 0),"-")</f>
        <v>14</v>
      </c>
      <c r="F7" s="117">
        <f>IFERROR(VLOOKUP($B7,table3[],7, 0),"-")</f>
        <v>25</v>
      </c>
      <c r="G7" s="117">
        <f>IFERROR(VLOOKUP($B7,Table4[],15, 0),"-")</f>
        <v>29</v>
      </c>
      <c r="H7" s="117">
        <f>IFERROR(VLOOKUP($B7,table5[],7, 0),"-")</f>
        <v>21</v>
      </c>
      <c r="I7" s="117">
        <f>IFERROR(VLOOKUP($B7,table6[],7, 0),"-")</f>
        <v>30</v>
      </c>
      <c r="J7" s="117">
        <f>IFERROR(VLOOKUP($B7,table7[],7, 0),"-")</f>
        <v>23</v>
      </c>
      <c r="K7" s="117">
        <f>IFERROR(VLOOKUP($B7,table8[],7, 0),"-")</f>
        <v>25</v>
      </c>
      <c r="L7" s="117">
        <f>IFERROR(VLOOKUP($B7,table9[],15, 0),"-")</f>
        <v>28</v>
      </c>
      <c r="M7" s="117">
        <f>IFERROR(VLOOKUP($B7,table10[],7, 0),"-")</f>
        <v>30</v>
      </c>
      <c r="N7" s="28">
        <f t="shared" si="0"/>
        <v>250</v>
      </c>
      <c r="O7" s="14"/>
      <c r="Q7" s="23"/>
    </row>
    <row r="8" spans="1:18" s="14" customFormat="1" ht="15" x14ac:dyDescent="0.2">
      <c r="A8" s="54">
        <v>5</v>
      </c>
      <c r="B8" s="102" t="s">
        <v>232</v>
      </c>
      <c r="C8" s="27">
        <f>IFERROR(VLOOKUP(B8,Table16[],12,FALSE),0)</f>
        <v>5.79</v>
      </c>
      <c r="D8" s="117">
        <f>IFERROR(VLOOKUP($B8,table1[],7, 0),"-")</f>
        <v>24</v>
      </c>
      <c r="E8" s="117">
        <f>IFERROR(VLOOKUP($B8,Table2[],15, 0),"-")</f>
        <v>19</v>
      </c>
      <c r="F8" s="117">
        <f>IFERROR(VLOOKUP($B8,table3[],7, 0),"-")</f>
        <v>27</v>
      </c>
      <c r="G8" s="117">
        <f>IFERROR(VLOOKUP($B8,Table4[],15, 0),"-")</f>
        <v>28</v>
      </c>
      <c r="H8" s="117">
        <f>IFERROR(VLOOKUP($B8,table5[],7, 0),"-")</f>
        <v>13</v>
      </c>
      <c r="I8" s="117">
        <f>IFERROR(VLOOKUP($B8,table6[],7, 0),"-")</f>
        <v>23</v>
      </c>
      <c r="J8" s="117">
        <f>IFERROR(VLOOKUP($B8,table7[],7, 0),"-")</f>
        <v>12</v>
      </c>
      <c r="K8" s="117">
        <f>IFERROR(VLOOKUP($B8,table8[],7, 0),"-")</f>
        <v>30</v>
      </c>
      <c r="L8" s="117">
        <f>IFERROR(VLOOKUP($B8,table9[],15, 0),"-")</f>
        <v>26</v>
      </c>
      <c r="M8" s="117">
        <f>IFERROR(VLOOKUP($B8,table10[],7, 0),"-")</f>
        <v>31</v>
      </c>
      <c r="N8" s="28">
        <f t="shared" si="0"/>
        <v>233</v>
      </c>
    </row>
    <row r="9" spans="1:18" ht="15" x14ac:dyDescent="0.2">
      <c r="A9" s="54">
        <v>6</v>
      </c>
      <c r="B9" s="102" t="s">
        <v>168</v>
      </c>
      <c r="C9" s="27">
        <f>IFERROR(VLOOKUP(B9,Table16[],12,FALSE),0)</f>
        <v>4.3099999999999996</v>
      </c>
      <c r="D9" s="117">
        <f>IFERROR(VLOOKUP($B9,table1[],7, 0),"-")</f>
        <v>15</v>
      </c>
      <c r="E9" s="117">
        <f>IFERROR(VLOOKUP($B9,Table2[],15, 0),"-")</f>
        <v>29</v>
      </c>
      <c r="F9" s="117">
        <f>IFERROR(VLOOKUP($B9,table3[],7, 0),"-")</f>
        <v>19</v>
      </c>
      <c r="G9" s="117">
        <f>IFERROR(VLOOKUP($B9,Table4[],15, 0),"-")</f>
        <v>27</v>
      </c>
      <c r="H9" s="117">
        <f>IFERROR(VLOOKUP($B9,table5[],7, 0),"-")</f>
        <v>24</v>
      </c>
      <c r="I9" s="117">
        <f>IFERROR(VLOOKUP($B9,table6[],7, 0),"-")</f>
        <v>17</v>
      </c>
      <c r="J9" s="117">
        <f>IFERROR(VLOOKUP($B9,table7[],7, 0),"-")</f>
        <v>22</v>
      </c>
      <c r="K9" s="117">
        <f>IFERROR(VLOOKUP($B9,table8[],7, 0),"-")</f>
        <v>31</v>
      </c>
      <c r="L9" s="117">
        <f>IFERROR(VLOOKUP($B9,table9[],15, 0),"-")</f>
        <v>23</v>
      </c>
      <c r="M9" s="117">
        <f>IFERROR(VLOOKUP($B9,table10[],7, 0),"-")</f>
        <v>26</v>
      </c>
      <c r="N9" s="28">
        <f t="shared" si="0"/>
        <v>233</v>
      </c>
      <c r="O9" s="26"/>
      <c r="P9" s="12"/>
      <c r="Q9" s="8"/>
      <c r="R9" s="12"/>
    </row>
    <row r="10" spans="1:18" ht="15" x14ac:dyDescent="0.2">
      <c r="A10" s="54">
        <v>7</v>
      </c>
      <c r="B10" s="102" t="s">
        <v>84</v>
      </c>
      <c r="C10" s="27">
        <f>IFERROR(VLOOKUP(B10,Table16[],12,FALSE),0)</f>
        <v>4.51</v>
      </c>
      <c r="D10" s="117">
        <f>IFERROR(VLOOKUP($B10,table1[],7, 0),"-")</f>
        <v>9</v>
      </c>
      <c r="E10" s="117">
        <f>IFERROR(VLOOKUP($B10,Table2[],15, 0),"-")</f>
        <v>15</v>
      </c>
      <c r="F10" s="117">
        <f>IFERROR(VLOOKUP($B10,table3[],7, 0),"-")</f>
        <v>29</v>
      </c>
      <c r="G10" s="117">
        <f>IFERROR(VLOOKUP($B10,Table4[],15, 0),"-")</f>
        <v>23</v>
      </c>
      <c r="H10" s="117">
        <f>IFERROR(VLOOKUP($B10,table5[],7, 0),"-")</f>
        <v>22</v>
      </c>
      <c r="I10" s="117">
        <f>IFERROR(VLOOKUP($B10,table6[],7, 0),"-")</f>
        <v>18</v>
      </c>
      <c r="J10" s="117">
        <f>IFERROR(VLOOKUP($B10,table7[],7, 0),"-")</f>
        <v>28</v>
      </c>
      <c r="K10" s="117">
        <f>IFERROR(VLOOKUP($B10,table8[],7, 0),"-")</f>
        <v>24</v>
      </c>
      <c r="L10" s="117">
        <f>IFERROR(VLOOKUP($B10,table9[],15, 0),"-")</f>
        <v>29</v>
      </c>
      <c r="M10" s="117">
        <f>IFERROR(VLOOKUP($B10,table10[],7, 0),"-")</f>
        <v>27</v>
      </c>
      <c r="N10" s="28">
        <f t="shared" si="0"/>
        <v>224</v>
      </c>
      <c r="O10" s="28"/>
      <c r="P10" s="6"/>
      <c r="Q10" s="6"/>
      <c r="R10" s="6"/>
    </row>
    <row r="11" spans="1:18" ht="15" x14ac:dyDescent="0.2">
      <c r="A11" s="54">
        <v>8</v>
      </c>
      <c r="B11" s="139" t="s">
        <v>59</v>
      </c>
      <c r="C11" s="27">
        <f>IFERROR(VLOOKUP(B11,Table16[],12,FALSE),0)</f>
        <v>9.01</v>
      </c>
      <c r="D11" s="117">
        <f>IFERROR(VLOOKUP($B11,table1[],7, 0),"-")</f>
        <v>6</v>
      </c>
      <c r="E11" s="117">
        <f>IFERROR(VLOOKUP($B11,Table2[],15, 0),"-")</f>
        <v>27</v>
      </c>
      <c r="F11" s="117">
        <f>IFERROR(VLOOKUP($B11,table3[],7, 0),"-")</f>
        <v>20</v>
      </c>
      <c r="G11" s="117">
        <f>IFERROR(VLOOKUP($B11,Table4[],15, 0),"-")</f>
        <v>21</v>
      </c>
      <c r="H11" s="117">
        <f>IFERROR(VLOOKUP($B11,table5[],7, 0),"-")</f>
        <v>19</v>
      </c>
      <c r="I11" s="117">
        <f>IFERROR(VLOOKUP($B11,table6[],7, 0),"-")</f>
        <v>32</v>
      </c>
      <c r="J11" s="117">
        <f>IFERROR(VLOOKUP($B11,table7[],7, 0),"-")</f>
        <v>25</v>
      </c>
      <c r="K11" s="117">
        <f>IFERROR(VLOOKUP($B11,table8[],7, 0),"-")</f>
        <v>28</v>
      </c>
      <c r="L11" s="117">
        <f>IFERROR(VLOOKUP($B11,table9[],15, 0),"-")</f>
        <v>17</v>
      </c>
      <c r="M11" s="117">
        <f>IFERROR(VLOOKUP($B11,table10[],7, 0),"-")</f>
        <v>21</v>
      </c>
      <c r="N11" s="28">
        <f t="shared" si="0"/>
        <v>216</v>
      </c>
      <c r="O11" s="28"/>
      <c r="P11" s="6"/>
      <c r="Q11" s="6"/>
      <c r="R11" s="6"/>
    </row>
    <row r="12" spans="1:18" ht="15" x14ac:dyDescent="0.2">
      <c r="A12" s="54">
        <v>9</v>
      </c>
      <c r="B12" s="102" t="s">
        <v>163</v>
      </c>
      <c r="C12" s="27">
        <f>IFERROR(VLOOKUP(B12,Table16[],12,FALSE),0)</f>
        <v>4.04</v>
      </c>
      <c r="D12" s="117">
        <f>IFERROR(VLOOKUP($B12,table1[],7, 0),"-")</f>
        <v>17</v>
      </c>
      <c r="E12" s="117">
        <f>IFERROR(VLOOKUP($B12,Table2[],15, 0),"-")</f>
        <v>20</v>
      </c>
      <c r="F12" s="117">
        <f>IFERROR(VLOOKUP($B12,table3[],7, 0),"-")</f>
        <v>22</v>
      </c>
      <c r="G12" s="117">
        <f>IFERROR(VLOOKUP($B12,Table4[],15, 0),"-")</f>
        <v>22</v>
      </c>
      <c r="H12" s="117">
        <f>IFERROR(VLOOKUP($B12,table5[],7, 0),"-")</f>
        <v>26</v>
      </c>
      <c r="I12" s="117">
        <f>IFERROR(VLOOKUP($B12,table6[],7, 0),"-")</f>
        <v>14</v>
      </c>
      <c r="J12" s="117">
        <f>IFERROR(VLOOKUP($B12,table7[],7, 0),"-")</f>
        <v>21</v>
      </c>
      <c r="K12" s="117">
        <f>IFERROR(VLOOKUP($B12,table8[],7, 0),"-")</f>
        <v>20</v>
      </c>
      <c r="L12" s="117">
        <f>IFERROR(VLOOKUP($B12,table9[],15, 0),"-")</f>
        <v>24</v>
      </c>
      <c r="M12" s="117">
        <f>IFERROR(VLOOKUP($B12,table10[],7, 0),"-")</f>
        <v>16</v>
      </c>
      <c r="N12" s="28">
        <f t="shared" si="0"/>
        <v>202</v>
      </c>
      <c r="O12" s="14"/>
    </row>
    <row r="13" spans="1:18" ht="15" x14ac:dyDescent="0.2">
      <c r="A13" s="54">
        <v>10</v>
      </c>
      <c r="B13" s="102" t="s">
        <v>33</v>
      </c>
      <c r="C13" s="27">
        <f>IFERROR(VLOOKUP(B13,Table16[],12,FALSE),0)</f>
        <v>6.08</v>
      </c>
      <c r="D13" s="117">
        <f>IFERROR(VLOOKUP($B13,table1[],7, 0),"-")</f>
        <v>9</v>
      </c>
      <c r="E13" s="117">
        <f>IFERROR(VLOOKUP($B13,Table2[],15, 0),"-")</f>
        <v>24</v>
      </c>
      <c r="F13" s="117">
        <f>IFERROR(VLOOKUP($B13,table3[],7, 0),"-")</f>
        <v>24</v>
      </c>
      <c r="G13" s="117">
        <f>IFERROR(VLOOKUP($B13,Table4[],15, 0),"-")</f>
        <v>18</v>
      </c>
      <c r="H13" s="117">
        <f>IFERROR(VLOOKUP($B13,table5[],7, 0),"-")</f>
        <v>14</v>
      </c>
      <c r="I13" s="117">
        <f>IFERROR(VLOOKUP($B13,table6[],7, 0),"-")</f>
        <v>13</v>
      </c>
      <c r="J13" s="117">
        <f>IFERROR(VLOOKUP($B13,table7[],7, 0),"-")</f>
        <v>31</v>
      </c>
      <c r="K13" s="117">
        <f>IFERROR(VLOOKUP($B13,table8[],7, 0),"-")</f>
        <v>19</v>
      </c>
      <c r="L13" s="117">
        <f>IFERROR(VLOOKUP($B13,table9[],15, 0),"-")</f>
        <v>19</v>
      </c>
      <c r="M13" s="117">
        <f>IFERROR(VLOOKUP($B13,table10[],7, 0),"-")</f>
        <v>25</v>
      </c>
      <c r="N13" s="28">
        <f t="shared" si="0"/>
        <v>196</v>
      </c>
      <c r="O13" s="14"/>
    </row>
    <row r="14" spans="1:18" ht="15" x14ac:dyDescent="0.2">
      <c r="A14" s="54">
        <v>11</v>
      </c>
      <c r="B14" s="139" t="s">
        <v>138</v>
      </c>
      <c r="C14" s="27">
        <f>IFERROR(VLOOKUP(B14,Table16[],12,FALSE),0)</f>
        <v>4.12</v>
      </c>
      <c r="D14" s="117">
        <f>IFERROR(VLOOKUP($B14,table1[],7, 0),"-")</f>
        <v>13</v>
      </c>
      <c r="E14" s="117">
        <f>IFERROR(VLOOKUP($B14,Table2[],15, 0),"-")</f>
        <v>31</v>
      </c>
      <c r="F14" s="117">
        <f>IFERROR(VLOOKUP($B14,table3[],7, 0),"-")</f>
        <v>10</v>
      </c>
      <c r="G14" s="117">
        <f>IFERROR(VLOOKUP($B14,Table4[],15, 0),"-")</f>
        <v>31</v>
      </c>
      <c r="H14" s="117">
        <f>IFERROR(VLOOKUP($B14,table5[],7, 0),"-")</f>
        <v>30</v>
      </c>
      <c r="I14" s="117">
        <f>IFERROR(VLOOKUP($B14,table6[],7, 0),"-")</f>
        <v>25</v>
      </c>
      <c r="J14" s="117">
        <f>IFERROR(VLOOKUP($B14,table7[],7, 0),"-")</f>
        <v>18</v>
      </c>
      <c r="K14" s="117">
        <f>IFERROR(VLOOKUP($B14,table8[],7, 0),"-")</f>
        <v>29</v>
      </c>
      <c r="L14" s="117" t="str">
        <f>IFERROR(VLOOKUP($B14,table9[],15, 0),"-")</f>
        <v>-</v>
      </c>
      <c r="M14" s="117" t="str">
        <f>IFERROR(VLOOKUP($B14,table10[],7, 0),"-")</f>
        <v>-</v>
      </c>
      <c r="N14" s="28">
        <f t="shared" si="0"/>
        <v>187</v>
      </c>
      <c r="O14" s="27"/>
      <c r="P14" s="6"/>
      <c r="Q14" s="6"/>
      <c r="R14" s="6"/>
    </row>
    <row r="15" spans="1:18" ht="15" x14ac:dyDescent="0.2">
      <c r="A15" s="54">
        <v>12</v>
      </c>
      <c r="B15" s="102" t="s">
        <v>112</v>
      </c>
      <c r="C15" s="27">
        <f>IFERROR(VLOOKUP(B15,Table16[],12,FALSE),0)</f>
        <v>4.41</v>
      </c>
      <c r="D15" s="117">
        <f>IFERROR(VLOOKUP($B15,table1[],7, 0),"-")</f>
        <v>18</v>
      </c>
      <c r="E15" s="117">
        <f>IFERROR(VLOOKUP($B15,Table2[],15, 0),"-")</f>
        <v>22</v>
      </c>
      <c r="F15" s="117">
        <f>IFERROR(VLOOKUP($B15,table3[],7, 0),"-")</f>
        <v>14</v>
      </c>
      <c r="G15" s="117">
        <f>IFERROR(VLOOKUP($B15,Table4[],15, 0),"-")</f>
        <v>24</v>
      </c>
      <c r="H15" s="117">
        <f>IFERROR(VLOOKUP($B15,table5[],7, 0),"-")</f>
        <v>6</v>
      </c>
      <c r="I15" s="117" t="str">
        <f>IFERROR(VLOOKUP($B15,table6[],7, 0),"-")</f>
        <v>-</v>
      </c>
      <c r="J15" s="117">
        <f>IFERROR(VLOOKUP($B15,table7[],7, 0),"-")</f>
        <v>26</v>
      </c>
      <c r="K15" s="117">
        <f>IFERROR(VLOOKUP($B15,table8[],7, 0),"-")</f>
        <v>26</v>
      </c>
      <c r="L15" s="117">
        <f>IFERROR(VLOOKUP($B15,table9[],15, 0),"-")</f>
        <v>21</v>
      </c>
      <c r="M15" s="117">
        <f>IFERROR(VLOOKUP($B15,table10[],7, 0),"-")</f>
        <v>28</v>
      </c>
      <c r="N15" s="28">
        <f t="shared" si="0"/>
        <v>185</v>
      </c>
      <c r="O15" s="28"/>
      <c r="P15" s="28"/>
      <c r="Q15" s="6"/>
      <c r="R15" s="6"/>
    </row>
    <row r="16" spans="1:18" s="23" customFormat="1" ht="15" x14ac:dyDescent="0.2">
      <c r="A16" s="54">
        <v>13</v>
      </c>
      <c r="B16" s="139" t="s">
        <v>229</v>
      </c>
      <c r="C16" s="27">
        <f>IFERROR(VLOOKUP(B16,Table16[],12,FALSE),0)</f>
        <v>3.69</v>
      </c>
      <c r="D16" s="117">
        <f>IFERROR(VLOOKUP($B16,table1[],7, 0),"-")</f>
        <v>23</v>
      </c>
      <c r="E16" s="117">
        <f>IFERROR(VLOOKUP($B16,Table2[],15, 0),"-")</f>
        <v>16</v>
      </c>
      <c r="F16" s="117">
        <f>IFERROR(VLOOKUP($B16,table3[],7, 0),"-")</f>
        <v>18</v>
      </c>
      <c r="G16" s="117">
        <f>IFERROR(VLOOKUP($B16,Table4[],15, 0),"-")</f>
        <v>15</v>
      </c>
      <c r="H16" s="117">
        <f>IFERROR(VLOOKUP($B16,table5[],7, 0),"-")</f>
        <v>20</v>
      </c>
      <c r="I16" s="117">
        <f>IFERROR(VLOOKUP($B16,table6[],7, 0),"-")</f>
        <v>16</v>
      </c>
      <c r="J16" s="117">
        <f>IFERROR(VLOOKUP($B16,table7[],7, 0),"-")</f>
        <v>15</v>
      </c>
      <c r="K16" s="117">
        <f>IFERROR(VLOOKUP($B16,table8[],7, 0),"-")</f>
        <v>23</v>
      </c>
      <c r="L16" s="117">
        <f>IFERROR(VLOOKUP($B16,table9[],15, 0),"-")</f>
        <v>18</v>
      </c>
      <c r="M16" s="117">
        <f>IFERROR(VLOOKUP($B16,table10[],7, 0),"-")</f>
        <v>19</v>
      </c>
      <c r="N16" s="28">
        <f t="shared" si="0"/>
        <v>183</v>
      </c>
      <c r="O16" s="28"/>
      <c r="P16" s="28"/>
      <c r="Q16" s="24"/>
      <c r="R16" s="24"/>
    </row>
    <row r="17" spans="1:18" ht="15" x14ac:dyDescent="0.2">
      <c r="A17" s="54">
        <v>14</v>
      </c>
      <c r="B17" s="102" t="s">
        <v>75</v>
      </c>
      <c r="C17" s="27">
        <f>IFERROR(VLOOKUP(B17,Table16[],12,FALSE),0)</f>
        <v>6.61</v>
      </c>
      <c r="D17" s="117">
        <f>IFERROR(VLOOKUP($B17,table1[],7, 0),"-")</f>
        <v>0</v>
      </c>
      <c r="E17" s="117">
        <f>IFERROR(VLOOKUP($B17,Table2[],15, 0),"-")</f>
        <v>23</v>
      </c>
      <c r="F17" s="117">
        <f>IFERROR(VLOOKUP($B17,table3[],7, 0),"-")</f>
        <v>12</v>
      </c>
      <c r="G17" s="117">
        <f>IFERROR(VLOOKUP($B17,Table4[],15, 0),"-")</f>
        <v>30</v>
      </c>
      <c r="H17" s="117">
        <f>IFERROR(VLOOKUP($B17,table5[],7, 0),"-")</f>
        <v>28</v>
      </c>
      <c r="I17" s="117">
        <f>IFERROR(VLOOKUP($B17,table6[],7, 0),"-")</f>
        <v>15</v>
      </c>
      <c r="J17" s="117">
        <f>IFERROR(VLOOKUP($B17,table7[],7, 0),"-")</f>
        <v>24</v>
      </c>
      <c r="K17" s="117">
        <f>IFERROR(VLOOKUP($B17,table8[],7, 0),"-")</f>
        <v>12</v>
      </c>
      <c r="L17" s="117">
        <f>IFERROR(VLOOKUP($B17,table9[],15, 0),"-")</f>
        <v>20</v>
      </c>
      <c r="M17" s="117">
        <f>IFERROR(VLOOKUP($B17,table10[],7, 0),"-")</f>
        <v>14</v>
      </c>
      <c r="N17" s="28">
        <f t="shared" si="0"/>
        <v>178</v>
      </c>
      <c r="O17" s="14"/>
    </row>
    <row r="18" spans="1:18" ht="15" x14ac:dyDescent="0.2">
      <c r="A18" s="54">
        <v>15</v>
      </c>
      <c r="B18" s="102" t="s">
        <v>48</v>
      </c>
      <c r="C18" s="27">
        <f>IFERROR(VLOOKUP(B18,Table16[],12,FALSE),0)</f>
        <v>5.52</v>
      </c>
      <c r="D18" s="117">
        <f>IFERROR(VLOOKUP($B18,table1[],7, 0),"-")</f>
        <v>7</v>
      </c>
      <c r="E18" s="117">
        <f>IFERROR(VLOOKUP($B18,Table2[],15, 0),"-")</f>
        <v>2</v>
      </c>
      <c r="F18" s="117">
        <f>IFERROR(VLOOKUP($B18,table3[],7, 0),"-")</f>
        <v>23</v>
      </c>
      <c r="G18" s="117" t="str">
        <f>IFERROR(VLOOKUP($B18,Table4[],15, 0),"-")</f>
        <v>-</v>
      </c>
      <c r="H18" s="117">
        <f>IFERROR(VLOOKUP($B18,table5[],7, 0),"-")</f>
        <v>27</v>
      </c>
      <c r="I18" s="117">
        <f>IFERROR(VLOOKUP($B18,table6[],7, 0),"-")</f>
        <v>28</v>
      </c>
      <c r="J18" s="117">
        <f>IFERROR(VLOOKUP($B18,table7[],7, 0),"-")</f>
        <v>13</v>
      </c>
      <c r="K18" s="117">
        <f>IFERROR(VLOOKUP($B18,table8[],7, 0),"-")</f>
        <v>17</v>
      </c>
      <c r="L18" s="117">
        <f>IFERROR(VLOOKUP($B18,table9[],15, 0),"-")</f>
        <v>30</v>
      </c>
      <c r="M18" s="117">
        <f>IFERROR(VLOOKUP($B18,table10[],7, 0),"-")</f>
        <v>24</v>
      </c>
      <c r="N18" s="28">
        <f t="shared" si="0"/>
        <v>171</v>
      </c>
      <c r="O18" s="14"/>
    </row>
    <row r="19" spans="1:18" ht="15" x14ac:dyDescent="0.2">
      <c r="A19" s="54">
        <v>16</v>
      </c>
      <c r="B19" s="102" t="s">
        <v>170</v>
      </c>
      <c r="C19" s="27">
        <f>IFERROR(VLOOKUP(B19,Table16[],12,FALSE),0)</f>
        <v>6.56</v>
      </c>
      <c r="D19" s="117">
        <f>IFERROR(VLOOKUP($B19,table1[],7, 0),"-")</f>
        <v>31</v>
      </c>
      <c r="E19" s="117">
        <f>IFERROR(VLOOKUP($B19,Table2[],15, 0),"-")</f>
        <v>2</v>
      </c>
      <c r="F19" s="117">
        <f>IFERROR(VLOOKUP($B19,table3[],7, 0),"-")</f>
        <v>30</v>
      </c>
      <c r="G19" s="117">
        <f>IFERROR(VLOOKUP($B19,Table4[],15, 0),"-")</f>
        <v>11</v>
      </c>
      <c r="H19" s="117">
        <f>IFERROR(VLOOKUP($B19,table5[],7, 0),"-")</f>
        <v>15</v>
      </c>
      <c r="I19" s="117">
        <f>IFERROR(VLOOKUP($B19,table6[],7, 0),"-")</f>
        <v>7</v>
      </c>
      <c r="J19" s="117">
        <f>IFERROR(VLOOKUP($B19,table7[],7, 0),"-")</f>
        <v>7</v>
      </c>
      <c r="K19" s="117">
        <f>IFERROR(VLOOKUP($B19,table8[],7, 0),"-")</f>
        <v>18</v>
      </c>
      <c r="L19" s="117">
        <f>IFERROR(VLOOKUP($B19,table9[],15, 0),"-")</f>
        <v>15</v>
      </c>
      <c r="M19" s="117" t="str">
        <f>IFERROR(VLOOKUP($B19,table10[],7, 0),"-")</f>
        <v>-</v>
      </c>
      <c r="N19" s="28">
        <f t="shared" si="0"/>
        <v>136</v>
      </c>
      <c r="O19" s="27"/>
    </row>
    <row r="20" spans="1:18" ht="15" x14ac:dyDescent="0.2">
      <c r="A20" s="54">
        <v>17</v>
      </c>
      <c r="B20" s="139" t="s">
        <v>35</v>
      </c>
      <c r="C20" s="27">
        <f>IFERROR(VLOOKUP(B20,Table16[],12,FALSE),0)</f>
        <v>5.57</v>
      </c>
      <c r="D20" s="117">
        <f>IFERROR(VLOOKUP($B20,table1[],7, 0),"-")</f>
        <v>29</v>
      </c>
      <c r="E20" s="117" t="str">
        <f>IFERROR(VLOOKUP($B20,Table2[],15, 0),"-")</f>
        <v>-</v>
      </c>
      <c r="F20" s="117">
        <f>IFERROR(VLOOKUP($B20,table3[],7, 0),"-")</f>
        <v>31</v>
      </c>
      <c r="G20" s="117" t="str">
        <f>IFERROR(VLOOKUP($B20,Table4[],15, 0),"-")</f>
        <v>-</v>
      </c>
      <c r="H20" s="117">
        <f>IFERROR(VLOOKUP($B20,table5[],7, 0),"-")</f>
        <v>23</v>
      </c>
      <c r="I20" s="117">
        <f>IFERROR(VLOOKUP($B20,table6[],7, 0),"-")</f>
        <v>19</v>
      </c>
      <c r="J20" s="117">
        <f>IFERROR(VLOOKUP($B20,table7[],7, 0),"-")</f>
        <v>30</v>
      </c>
      <c r="K20" s="117" t="str">
        <f>IFERROR(VLOOKUP($B20,table8[],7, 0),"-")</f>
        <v>-</v>
      </c>
      <c r="L20" s="117" t="str">
        <f>IFERROR(VLOOKUP($B20,table9[],15, 0),"-")</f>
        <v>-</v>
      </c>
      <c r="M20" s="117" t="str">
        <f>IFERROR(VLOOKUP($B20,table10[],7, 0),"-")</f>
        <v>-</v>
      </c>
      <c r="N20" s="28">
        <f t="shared" si="0"/>
        <v>132</v>
      </c>
      <c r="O20" s="28"/>
      <c r="P20" s="6"/>
      <c r="Q20" s="6"/>
      <c r="R20" s="6"/>
    </row>
    <row r="21" spans="1:18" ht="15" x14ac:dyDescent="0.2">
      <c r="A21" s="54">
        <v>18</v>
      </c>
      <c r="B21" s="139" t="s">
        <v>31</v>
      </c>
      <c r="C21" s="27">
        <f>IFERROR(VLOOKUP(B21,Table16[],12,FALSE),0)</f>
        <v>3.79</v>
      </c>
      <c r="D21" s="117">
        <f>IFERROR(VLOOKUP($B21,table1[],7, 0),"-")</f>
        <v>2</v>
      </c>
      <c r="E21" s="117">
        <f>IFERROR(VLOOKUP($B21,Table2[],15, 0),"-")</f>
        <v>18</v>
      </c>
      <c r="F21" s="117">
        <f>IFERROR(VLOOKUP($B21,table3[],7, 0),"-")</f>
        <v>15</v>
      </c>
      <c r="G21" s="117">
        <f>IFERROR(VLOOKUP($B21,Table4[],15, 0),"-")</f>
        <v>19</v>
      </c>
      <c r="H21" s="117">
        <f>IFERROR(VLOOKUP($B21,table5[],7, 0),"-")</f>
        <v>11</v>
      </c>
      <c r="I21" s="117">
        <f>IFERROR(VLOOKUP($B21,table6[],7, 0),"-")</f>
        <v>10</v>
      </c>
      <c r="J21" s="117">
        <f>IFERROR(VLOOKUP($B21,table7[],7, 0),"-")</f>
        <v>8</v>
      </c>
      <c r="K21" s="117">
        <f>IFERROR(VLOOKUP($B21,table8[],7, 0),"-")</f>
        <v>10</v>
      </c>
      <c r="L21" s="117">
        <f>IFERROR(VLOOKUP($B21,table9[],15, 0),"-")</f>
        <v>16</v>
      </c>
      <c r="M21" s="117">
        <f>IFERROR(VLOOKUP($B21,table10[],7, 0),"-")</f>
        <v>12</v>
      </c>
      <c r="N21" s="28">
        <f t="shared" si="0"/>
        <v>121</v>
      </c>
      <c r="O21" s="28"/>
      <c r="P21" s="6"/>
      <c r="Q21" s="6"/>
      <c r="R21" s="6"/>
    </row>
    <row r="22" spans="1:18" ht="15" x14ac:dyDescent="0.2">
      <c r="A22" s="54">
        <v>19</v>
      </c>
      <c r="B22" s="102" t="s">
        <v>180</v>
      </c>
      <c r="C22" s="27">
        <f>IFERROR(VLOOKUP(B22,Table16[],12,FALSE),0)</f>
        <v>4.1500000000000004</v>
      </c>
      <c r="D22" s="117">
        <f>IFERROR(VLOOKUP($B22,table1[],7, 0),"-")</f>
        <v>12</v>
      </c>
      <c r="E22" s="117">
        <f>IFERROR(VLOOKUP($B22,Table2[],15, 0),"-")</f>
        <v>12</v>
      </c>
      <c r="F22" s="117">
        <f>IFERROR(VLOOKUP($B22,table3[],7, 0),"-")</f>
        <v>8</v>
      </c>
      <c r="G22" s="117">
        <f>IFERROR(VLOOKUP($B22,Table4[],15, 0),"-")</f>
        <v>12</v>
      </c>
      <c r="H22" s="117">
        <f>IFERROR(VLOOKUP($B22,table5[],7, 0),"-")</f>
        <v>5</v>
      </c>
      <c r="I22" s="117">
        <f>IFERROR(VLOOKUP($B22,table6[],7, 0),"-")</f>
        <v>29</v>
      </c>
      <c r="J22" s="117">
        <f>IFERROR(VLOOKUP($B22,table7[],7, 0),"-")</f>
        <v>11</v>
      </c>
      <c r="K22" s="117">
        <f>IFERROR(VLOOKUP($B22,table8[],7, 0),"-")</f>
        <v>16</v>
      </c>
      <c r="L22" s="117">
        <f>IFERROR(VLOOKUP($B22,table9[],15, 0),"-")</f>
        <v>14</v>
      </c>
      <c r="M22" s="117" t="str">
        <f>IFERROR(VLOOKUP($B22,table10[],7, 0),"-")</f>
        <v>-</v>
      </c>
      <c r="N22" s="28">
        <f t="shared" si="0"/>
        <v>119</v>
      </c>
      <c r="O22" s="14"/>
    </row>
    <row r="23" spans="1:18" s="23" customFormat="1" ht="15" x14ac:dyDescent="0.2">
      <c r="A23" s="54">
        <v>20</v>
      </c>
      <c r="B23" s="102" t="s">
        <v>56</v>
      </c>
      <c r="C23" s="27">
        <f>IFERROR(VLOOKUP(B23,Table16[],12,FALSE),0)</f>
        <v>3.47</v>
      </c>
      <c r="D23" s="117">
        <f>IFERROR(VLOOKUP($B23,table1[],7, 0),"-")</f>
        <v>8</v>
      </c>
      <c r="E23" s="117">
        <f>IFERROR(VLOOKUP($B23,Table2[],15, 0),"-")</f>
        <v>2</v>
      </c>
      <c r="F23" s="117">
        <f>IFERROR(VLOOKUP($B23,table3[],7, 0),"-")</f>
        <v>2</v>
      </c>
      <c r="G23" s="117">
        <f>IFERROR(VLOOKUP($B23,Table4[],15, 0),"-")</f>
        <v>16</v>
      </c>
      <c r="H23" s="117">
        <f>IFERROR(VLOOKUP($B23,table5[],7, 0),"-")</f>
        <v>10</v>
      </c>
      <c r="I23" s="117">
        <f>IFERROR(VLOOKUP($B23,table6[],7, 0),"-")</f>
        <v>9</v>
      </c>
      <c r="J23" s="117">
        <f>IFERROR(VLOOKUP($B23,table7[],7, 0),"-")</f>
        <v>10</v>
      </c>
      <c r="K23" s="117">
        <f>IFERROR(VLOOKUP($B23,table8[],7, 0),"-")</f>
        <v>21</v>
      </c>
      <c r="L23" s="117">
        <f>IFERROR(VLOOKUP($B23,table9[],15, 0),"-")</f>
        <v>22</v>
      </c>
      <c r="M23" s="117">
        <f>IFERROR(VLOOKUP($B23,table10[],7, 0),"-")</f>
        <v>15</v>
      </c>
      <c r="N23" s="28">
        <f t="shared" si="0"/>
        <v>115</v>
      </c>
      <c r="O23" s="14"/>
    </row>
    <row r="24" spans="1:18" ht="15" x14ac:dyDescent="0.2">
      <c r="A24" s="54">
        <v>21</v>
      </c>
      <c r="B24" s="102" t="s">
        <v>221</v>
      </c>
      <c r="C24" s="27">
        <f>IFERROR(VLOOKUP(B24,Table16[],12,FALSE),0)</f>
        <v>5.61</v>
      </c>
      <c r="D24" s="117">
        <f>IFERROR(VLOOKUP($B24,table1[],7, 0),"-")</f>
        <v>2</v>
      </c>
      <c r="E24" s="117">
        <f>IFERROR(VLOOKUP($B24,Table2[],15, 0),"-")</f>
        <v>17</v>
      </c>
      <c r="F24" s="117">
        <f>IFERROR(VLOOKUP($B24,table3[],7, 0),"-")</f>
        <v>5</v>
      </c>
      <c r="G24" s="117">
        <f>IFERROR(VLOOKUP($B24,Table4[],15, 0),"-")</f>
        <v>7</v>
      </c>
      <c r="H24" s="117">
        <f>IFERROR(VLOOKUP($B24,table5[],7, 0),"-")</f>
        <v>31</v>
      </c>
      <c r="I24" s="117">
        <f>IFERROR(VLOOKUP($B24,table6[],7, 0),"-")</f>
        <v>6</v>
      </c>
      <c r="J24" s="117">
        <f>IFERROR(VLOOKUP($B24,table7[],7, 0),"-")</f>
        <v>17</v>
      </c>
      <c r="K24" s="117">
        <f>IFERROR(VLOOKUP($B24,table8[],7, 0),"-")</f>
        <v>2</v>
      </c>
      <c r="L24" s="117">
        <f>IFERROR(VLOOKUP($B24,table9[],15, 0),"-")</f>
        <v>13</v>
      </c>
      <c r="M24" s="117">
        <f>IFERROR(VLOOKUP($B24,table10[],7, 0),"-")</f>
        <v>2</v>
      </c>
      <c r="N24" s="28">
        <f t="shared" si="0"/>
        <v>102</v>
      </c>
      <c r="O24" s="27"/>
      <c r="P24" s="6"/>
      <c r="Q24" s="6"/>
      <c r="R24" s="6"/>
    </row>
    <row r="25" spans="1:18" ht="15" x14ac:dyDescent="0.2">
      <c r="A25" s="54">
        <v>22</v>
      </c>
      <c r="B25" s="139" t="s">
        <v>67</v>
      </c>
      <c r="C25" s="27">
        <f>IFERROR(VLOOKUP(B25,Table16[],12,FALSE),0)</f>
        <v>4.21</v>
      </c>
      <c r="D25" s="117" t="str">
        <f>IFERROR(VLOOKUP($B25,table1[],7, 0),"-")</f>
        <v>-</v>
      </c>
      <c r="E25" s="117" t="str">
        <f>IFERROR(VLOOKUP($B25,Table2[],15, 0),"-")</f>
        <v>-</v>
      </c>
      <c r="F25" s="117" t="str">
        <f>IFERROR(VLOOKUP($B25,table3[],7, 0),"-")</f>
        <v>-</v>
      </c>
      <c r="G25" s="117">
        <f>IFERROR(VLOOKUP($B25,Table4[],15, 0),"-")</f>
        <v>14</v>
      </c>
      <c r="H25" s="117" t="str">
        <f>IFERROR(VLOOKUP($B25,table5[],7, 0),"-")</f>
        <v>-</v>
      </c>
      <c r="I25" s="117">
        <f>IFERROR(VLOOKUP($B25,table6[],7, 0),"-")</f>
        <v>27</v>
      </c>
      <c r="J25" s="117">
        <f>IFERROR(VLOOKUP($B25,table7[],7, 0),"-")</f>
        <v>29</v>
      </c>
      <c r="K25" s="117" t="str">
        <f>IFERROR(VLOOKUP($B25,table8[],7, 0),"-")</f>
        <v>-</v>
      </c>
      <c r="L25" s="117">
        <f>IFERROR(VLOOKUP($B25,table9[],15, 0),"-")</f>
        <v>27</v>
      </c>
      <c r="M25" s="117" t="str">
        <f>IFERROR(VLOOKUP($B25,table10[],7, 0),"-")</f>
        <v>-</v>
      </c>
      <c r="N25" s="28">
        <f t="shared" si="0"/>
        <v>97</v>
      </c>
      <c r="O25" s="28"/>
      <c r="P25" s="6"/>
      <c r="Q25" s="6"/>
      <c r="R25" s="6"/>
    </row>
    <row r="26" spans="1:18" ht="15" x14ac:dyDescent="0.2">
      <c r="A26" s="54">
        <v>23</v>
      </c>
      <c r="B26" s="102" t="s">
        <v>266</v>
      </c>
      <c r="C26" s="27">
        <f>IFERROR(VLOOKUP(B26,Table16[],12,FALSE),0)</f>
        <v>3.84</v>
      </c>
      <c r="D26" s="117" t="str">
        <f>IFERROR(VLOOKUP($B26,table1[],7, 0),"-")</f>
        <v>-</v>
      </c>
      <c r="E26" s="117" t="str">
        <f>IFERROR(VLOOKUP($B26,Table2[],15, 0),"-")</f>
        <v>-</v>
      </c>
      <c r="F26" s="117" t="str">
        <f>IFERROR(VLOOKUP($B26,table3[],7, 0),"-")</f>
        <v>-</v>
      </c>
      <c r="G26" s="117">
        <f>IFERROR(VLOOKUP($B26,Table4[],15, 0),"-")</f>
        <v>13</v>
      </c>
      <c r="H26" s="117">
        <f>IFERROR(VLOOKUP($B26,table5[],7, 0),"-")</f>
        <v>18</v>
      </c>
      <c r="I26" s="117">
        <f>IFERROR(VLOOKUP($B26,table6[],7, 0),"-")</f>
        <v>11</v>
      </c>
      <c r="J26" s="117">
        <f>IFERROR(VLOOKUP($B26,table7[],7, 0),"-")</f>
        <v>19</v>
      </c>
      <c r="K26" s="117">
        <f>IFERROR(VLOOKUP($B26,table8[],7, 0),"-")</f>
        <v>13</v>
      </c>
      <c r="L26" s="117" t="str">
        <f>IFERROR(VLOOKUP($B26,table9[],15, 0),"-")</f>
        <v>-</v>
      </c>
      <c r="M26" s="117">
        <f>IFERROR(VLOOKUP($B26,table10[],7, 0),"-")</f>
        <v>22</v>
      </c>
      <c r="N26" s="28">
        <f t="shared" si="0"/>
        <v>96</v>
      </c>
      <c r="O26" s="28"/>
      <c r="P26" s="6"/>
      <c r="Q26" s="6"/>
      <c r="R26" s="6"/>
    </row>
    <row r="27" spans="1:18" ht="15" x14ac:dyDescent="0.2">
      <c r="A27" s="54">
        <v>24</v>
      </c>
      <c r="B27" s="102" t="s">
        <v>234</v>
      </c>
      <c r="C27" s="27">
        <f>IFERROR(VLOOKUP(B27,Table16[],12,FALSE),0)</f>
        <v>4.0599999999999996</v>
      </c>
      <c r="D27" s="117">
        <f>IFERROR(VLOOKUP($B27,table1[],7, 0),"-")</f>
        <v>20</v>
      </c>
      <c r="E27" s="117" t="str">
        <f>IFERROR(VLOOKUP($B27,Table2[],15, 0),"-")</f>
        <v>-</v>
      </c>
      <c r="F27" s="117">
        <f>IFERROR(VLOOKUP($B27,table3[],7, 0),"-")</f>
        <v>11</v>
      </c>
      <c r="G27" s="117" t="str">
        <f>IFERROR(VLOOKUP($B27,Table4[],15, 0),"-")</f>
        <v>-</v>
      </c>
      <c r="H27" s="117" t="str">
        <f>IFERROR(VLOOKUP($B27,table5[],7, 0),"-")</f>
        <v>-</v>
      </c>
      <c r="I27" s="117">
        <f>IFERROR(VLOOKUP($B27,table6[],7, 0),"-")</f>
        <v>31</v>
      </c>
      <c r="J27" s="117">
        <f>IFERROR(VLOOKUP($B27,table7[],7, 0),"-")</f>
        <v>16</v>
      </c>
      <c r="K27" s="117">
        <f>IFERROR(VLOOKUP($B27,table8[],7, 0),"-")</f>
        <v>14</v>
      </c>
      <c r="L27" s="117" t="str">
        <f>IFERROR(VLOOKUP($B27,table9[],15, 0),"-")</f>
        <v>-</v>
      </c>
      <c r="M27" s="117" t="str">
        <f>IFERROR(VLOOKUP($B27,table10[],7, 0),"-")</f>
        <v>-</v>
      </c>
      <c r="N27" s="28">
        <f t="shared" si="0"/>
        <v>92</v>
      </c>
      <c r="O27" s="14"/>
    </row>
    <row r="28" spans="1:18" ht="15" x14ac:dyDescent="0.2">
      <c r="A28" s="54">
        <v>25</v>
      </c>
      <c r="B28" s="102" t="s">
        <v>238</v>
      </c>
      <c r="C28" s="27">
        <f>IFERROR(VLOOKUP(B28,Table16[],12,FALSE),0)</f>
        <v>2.94</v>
      </c>
      <c r="D28" s="117">
        <f>IFERROR(VLOOKUP($B28,table1[],7, 0),"-")</f>
        <v>16</v>
      </c>
      <c r="E28" s="117" t="str">
        <f>IFERROR(VLOOKUP($B28,Table2[],15, 0),"-")</f>
        <v>-</v>
      </c>
      <c r="F28" s="117">
        <f>IFERROR(VLOOKUP($B28,table3[],7, 0),"-")</f>
        <v>6</v>
      </c>
      <c r="G28" s="117" t="str">
        <f>IFERROR(VLOOKUP($B28,Table4[],15, 0),"-")</f>
        <v>-</v>
      </c>
      <c r="H28" s="117">
        <f>IFERROR(VLOOKUP($B28,table5[],7, 0),"-")</f>
        <v>17</v>
      </c>
      <c r="I28" s="117">
        <f>IFERROR(VLOOKUP($B28,table6[],7, 0),"-")</f>
        <v>12</v>
      </c>
      <c r="J28" s="117">
        <f>IFERROR(VLOOKUP($B28,table7[],7, 0),"-")</f>
        <v>5</v>
      </c>
      <c r="K28" s="117">
        <f>IFERROR(VLOOKUP($B28,table8[],7, 0),"-")</f>
        <v>15</v>
      </c>
      <c r="L28" s="117" t="str">
        <f>IFERROR(VLOOKUP($B28,table9[],15, 0),"-")</f>
        <v>-</v>
      </c>
      <c r="M28" s="117">
        <f>IFERROR(VLOOKUP($B28,table10[],7, 0),"-")</f>
        <v>17</v>
      </c>
      <c r="N28" s="28">
        <f t="shared" si="0"/>
        <v>88</v>
      </c>
      <c r="O28" s="14"/>
    </row>
    <row r="29" spans="1:18" s="23" customFormat="1" ht="15" x14ac:dyDescent="0.2">
      <c r="A29" s="54">
        <v>26</v>
      </c>
      <c r="B29" s="102" t="s">
        <v>99</v>
      </c>
      <c r="C29" s="27">
        <f>IFERROR(VLOOKUP(B29,Table16[],12,FALSE),0)</f>
        <v>2.98</v>
      </c>
      <c r="D29" s="117">
        <f>IFERROR(VLOOKUP($B29,table1[],7, 0),"-")</f>
        <v>22</v>
      </c>
      <c r="E29" s="117">
        <f>IFERROR(VLOOKUP($B29,Table2[],15, 0),"-")</f>
        <v>11</v>
      </c>
      <c r="F29" s="117">
        <f>IFERROR(VLOOKUP($B29,table3[],7, 0),"-")</f>
        <v>21</v>
      </c>
      <c r="G29" s="117">
        <f>IFERROR(VLOOKUP($B29,Table4[],15, 0),"-")</f>
        <v>17</v>
      </c>
      <c r="H29" s="117">
        <f>IFERROR(VLOOKUP($B29,table5[],7, 0),"-")</f>
        <v>9</v>
      </c>
      <c r="I29" s="117" t="str">
        <f>IFERROR(VLOOKUP($B29,table6[],7, 0),"-")</f>
        <v>-</v>
      </c>
      <c r="J29" s="117" t="str">
        <f>IFERROR(VLOOKUP($B29,table7[],7, 0),"-")</f>
        <v>-</v>
      </c>
      <c r="K29" s="117" t="str">
        <f>IFERROR(VLOOKUP($B29,table8[],7, 0),"-")</f>
        <v>-</v>
      </c>
      <c r="L29" s="117" t="str">
        <f>IFERROR(VLOOKUP($B29,table9[],15, 0),"-")</f>
        <v>-</v>
      </c>
      <c r="M29" s="117" t="str">
        <f>IFERROR(VLOOKUP($B29,table10[],7, 0),"-")</f>
        <v>-</v>
      </c>
      <c r="N29" s="28">
        <f t="shared" si="0"/>
        <v>80</v>
      </c>
      <c r="O29" s="28"/>
      <c r="P29" s="24"/>
      <c r="Q29" s="24"/>
      <c r="R29" s="24"/>
    </row>
    <row r="30" spans="1:18" ht="15" x14ac:dyDescent="0.2">
      <c r="A30" s="54">
        <v>27</v>
      </c>
      <c r="B30" s="102" t="s">
        <v>227</v>
      </c>
      <c r="C30" s="27">
        <f>IFERROR(VLOOKUP(B30,Table16[],12,FALSE),0)</f>
        <v>3.99</v>
      </c>
      <c r="D30" s="117">
        <f>IFERROR(VLOOKUP($B30,table1[],7, 0),"-")</f>
        <v>28</v>
      </c>
      <c r="E30" s="117">
        <f>IFERROR(VLOOKUP($B30,Table2[],15, 0),"-")</f>
        <v>21</v>
      </c>
      <c r="F30" s="117">
        <f>IFERROR(VLOOKUP($B30,table3[],7, 0),"-")</f>
        <v>4</v>
      </c>
      <c r="G30" s="117">
        <f>IFERROR(VLOOKUP($B30,Table4[],15, 0),"-")</f>
        <v>2</v>
      </c>
      <c r="H30" s="117" t="str">
        <f>IFERROR(VLOOKUP($B30,table5[],7, 0),"-")</f>
        <v>-</v>
      </c>
      <c r="I30" s="117" t="str">
        <f>IFERROR(VLOOKUP($B30,table6[],7, 0),"-")</f>
        <v>-</v>
      </c>
      <c r="J30" s="117" t="str">
        <f>IFERROR(VLOOKUP($B30,table7[],7, 0),"-")</f>
        <v>-</v>
      </c>
      <c r="K30" s="117" t="str">
        <f>IFERROR(VLOOKUP($B30,table8[],7, 0),"-")</f>
        <v>-</v>
      </c>
      <c r="L30" s="117" t="str">
        <f>IFERROR(VLOOKUP($B30,table9[],15, 0),"-")</f>
        <v>-</v>
      </c>
      <c r="M30" s="117">
        <f>IFERROR(VLOOKUP($B30,table10[],7, 0),"-")</f>
        <v>18</v>
      </c>
      <c r="N30" s="28">
        <f t="shared" si="0"/>
        <v>73</v>
      </c>
      <c r="O30" s="27"/>
      <c r="P30" s="6"/>
      <c r="Q30" s="6"/>
      <c r="R30" s="6"/>
    </row>
    <row r="31" spans="1:18" ht="15" x14ac:dyDescent="0.2">
      <c r="A31" s="54">
        <v>28</v>
      </c>
      <c r="B31" s="102" t="s">
        <v>97</v>
      </c>
      <c r="C31" s="27">
        <f>IFERROR(VLOOKUP(B31,Table16[],12,FALSE),0)</f>
        <v>4.37</v>
      </c>
      <c r="D31" s="117">
        <f>IFERROR(VLOOKUP($B31,table1[],7, 0),"-")</f>
        <v>27</v>
      </c>
      <c r="E31" s="117">
        <f>IFERROR(VLOOKUP($B31,Table2[],15, 0),"-")</f>
        <v>10</v>
      </c>
      <c r="F31" s="117">
        <f>IFERROR(VLOOKUP($B31,table3[],7, 0),"-")</f>
        <v>16</v>
      </c>
      <c r="G31" s="117">
        <f>IFERROR(VLOOKUP($B31,Table4[],15, 0),"-")</f>
        <v>9</v>
      </c>
      <c r="H31" s="117">
        <f>IFERROR(VLOOKUP($B31,table5[],7, 0),"-")</f>
        <v>4</v>
      </c>
      <c r="I31" s="117" t="str">
        <f>IFERROR(VLOOKUP($B31,table6[],7, 0),"-")</f>
        <v>-</v>
      </c>
      <c r="J31" s="117" t="str">
        <f>IFERROR(VLOOKUP($B31,table7[],7, 0),"-")</f>
        <v>-</v>
      </c>
      <c r="K31" s="117" t="str">
        <f>IFERROR(VLOOKUP($B31,table8[],7, 0),"-")</f>
        <v>-</v>
      </c>
      <c r="L31" s="117" t="str">
        <f>IFERROR(VLOOKUP($B31,table9[],15, 0),"-")</f>
        <v>-</v>
      </c>
      <c r="M31" s="117" t="str">
        <f>IFERROR(VLOOKUP($B31,table10[],7, 0),"-")</f>
        <v>-</v>
      </c>
      <c r="N31" s="28">
        <f t="shared" si="0"/>
        <v>66</v>
      </c>
      <c r="O31" s="28"/>
      <c r="P31" s="6"/>
      <c r="Q31" s="6"/>
      <c r="R31" s="6"/>
    </row>
    <row r="32" spans="1:18" ht="15" x14ac:dyDescent="0.2">
      <c r="A32" s="54">
        <v>29</v>
      </c>
      <c r="B32" s="102" t="s">
        <v>81</v>
      </c>
      <c r="C32" s="27">
        <f>IFERROR(VLOOKUP(B32,Table16[],12,FALSE),0)</f>
        <v>3.42</v>
      </c>
      <c r="D32" s="117">
        <f>IFERROR(VLOOKUP($B32,table1[],7, 0),"-")</f>
        <v>14</v>
      </c>
      <c r="E32" s="117">
        <f>IFERROR(VLOOKUP($B32,Table2[],15, 0),"-")</f>
        <v>26</v>
      </c>
      <c r="F32" s="117">
        <f>IFERROR(VLOOKUP($B32,table3[],7, 0),"-")</f>
        <v>9</v>
      </c>
      <c r="G32" s="117">
        <f>IFERROR(VLOOKUP($B32,Table4[],15, 0),"-")</f>
        <v>2</v>
      </c>
      <c r="H32" s="117" t="str">
        <f>IFERROR(VLOOKUP($B32,table5[],7, 0),"-")</f>
        <v>-</v>
      </c>
      <c r="I32" s="117" t="str">
        <f>IFERROR(VLOOKUP($B32,table6[],7, 0),"-")</f>
        <v>-</v>
      </c>
      <c r="J32" s="117" t="str">
        <f>IFERROR(VLOOKUP($B32,table7[],7, 0),"-")</f>
        <v>-</v>
      </c>
      <c r="K32" s="117" t="str">
        <f>IFERROR(VLOOKUP($B32,table8[],7, 0),"-")</f>
        <v>-</v>
      </c>
      <c r="L32" s="117" t="str">
        <f>IFERROR(VLOOKUP($B32,table9[],15, 0),"-")</f>
        <v>-</v>
      </c>
      <c r="M32" s="117">
        <f>IFERROR(VLOOKUP($B32,table10[],7, 0),"-")</f>
        <v>13</v>
      </c>
      <c r="N32" s="28">
        <f t="shared" si="0"/>
        <v>64</v>
      </c>
      <c r="O32" s="14"/>
    </row>
    <row r="33" spans="1:18" ht="15" x14ac:dyDescent="0.2">
      <c r="A33" s="54">
        <v>30</v>
      </c>
      <c r="B33" s="102" t="s">
        <v>141</v>
      </c>
      <c r="C33" s="27">
        <f>IFERROR(VLOOKUP(B33,Table16[],12,FALSE),0)</f>
        <v>5.1100000000000003</v>
      </c>
      <c r="D33" s="117">
        <f>IFERROR(VLOOKUP($B33,table1[],7, 0),"-")</f>
        <v>2</v>
      </c>
      <c r="E33" s="117" t="str">
        <f>IFERROR(VLOOKUP($B33,Table2[],15, 0),"-")</f>
        <v>-</v>
      </c>
      <c r="F33" s="117">
        <f>IFERROR(VLOOKUP($B33,table3[],7, 0),"-")</f>
        <v>2</v>
      </c>
      <c r="G33" s="117">
        <f>IFERROR(VLOOKUP($B33,Table4[],15, 0),"-")</f>
        <v>8</v>
      </c>
      <c r="H33" s="117">
        <f>IFERROR(VLOOKUP($B33,table5[],7, 0),"-")</f>
        <v>8</v>
      </c>
      <c r="I33" s="117">
        <f>IFERROR(VLOOKUP($B33,table6[],7, 0),"-")</f>
        <v>8</v>
      </c>
      <c r="J33" s="117">
        <f>IFERROR(VLOOKUP($B33,table7[],7, 0),"-")</f>
        <v>27</v>
      </c>
      <c r="K33" s="117" t="str">
        <f>IFERROR(VLOOKUP($B33,table8[],7, 0),"-")</f>
        <v>-</v>
      </c>
      <c r="L33" s="117" t="str">
        <f>IFERROR(VLOOKUP($B33,table9[],15, 0),"-")</f>
        <v>-</v>
      </c>
      <c r="M33" s="117" t="str">
        <f>IFERROR(VLOOKUP($B33,table10[],7, 0),"-")</f>
        <v>-</v>
      </c>
      <c r="N33" s="28">
        <f t="shared" si="0"/>
        <v>55</v>
      </c>
      <c r="O33" s="14"/>
    </row>
    <row r="34" spans="1:18" ht="15" x14ac:dyDescent="0.2">
      <c r="A34" s="54">
        <v>31</v>
      </c>
      <c r="B34" s="103" t="s">
        <v>53</v>
      </c>
      <c r="C34" s="27">
        <f>IFERROR(VLOOKUP(B34,Table16[],12,FALSE),0)</f>
        <v>4.4800000000000004</v>
      </c>
      <c r="D34" s="117">
        <f>IFERROR(VLOOKUP($B34,table1[],7, 0),"-")</f>
        <v>30</v>
      </c>
      <c r="E34" s="117" t="str">
        <f>IFERROR(VLOOKUP($B34,Table2[],15, 0),"-")</f>
        <v>-</v>
      </c>
      <c r="F34" s="117">
        <f>IFERROR(VLOOKUP($B34,table3[],7, 0),"-")</f>
        <v>17</v>
      </c>
      <c r="G34" s="117" t="str">
        <f>IFERROR(VLOOKUP($B34,Table4[],15, 0),"-")</f>
        <v>-</v>
      </c>
      <c r="H34" s="117" t="str">
        <f>IFERROR(VLOOKUP($B34,table5[],7, 0),"-")</f>
        <v>-</v>
      </c>
      <c r="I34" s="117" t="str">
        <f>IFERROR(VLOOKUP($B34,table6[],7, 0),"-")</f>
        <v>-</v>
      </c>
      <c r="J34" s="117" t="str">
        <f>IFERROR(VLOOKUP($B34,table7[],7, 0),"-")</f>
        <v>-</v>
      </c>
      <c r="K34" s="117" t="str">
        <f>IFERROR(VLOOKUP($B34,table8[],7, 0),"-")</f>
        <v>-</v>
      </c>
      <c r="L34" s="117" t="str">
        <f>IFERROR(VLOOKUP($B34,table9[],15, 0),"-")</f>
        <v>-</v>
      </c>
      <c r="M34" s="117" t="str">
        <f>IFERROR(VLOOKUP($B34,table10[],7, 0),"-")</f>
        <v>-</v>
      </c>
      <c r="N34" s="28">
        <f t="shared" si="0"/>
        <v>47</v>
      </c>
      <c r="O34" s="27"/>
      <c r="P34" s="6"/>
      <c r="Q34" s="6"/>
      <c r="R34" s="6"/>
    </row>
    <row r="35" spans="1:18" ht="15" x14ac:dyDescent="0.2">
      <c r="A35" s="54">
        <v>32</v>
      </c>
      <c r="B35" s="103" t="s">
        <v>77</v>
      </c>
      <c r="C35" s="27">
        <f>IFERROR(VLOOKUP(B35,Table16[],12,FALSE),0)</f>
        <v>4.1500000000000004</v>
      </c>
      <c r="D35" s="117">
        <f>IFERROR(VLOOKUP($B35,table1[],7, 0),"-")</f>
        <v>10</v>
      </c>
      <c r="E35" s="117">
        <f>IFERROR(VLOOKUP($B35,Table2[],15, 0),"-")</f>
        <v>25</v>
      </c>
      <c r="F35" s="117">
        <f>IFERROR(VLOOKUP($B35,table3[],7, 0),"-")</f>
        <v>7</v>
      </c>
      <c r="G35" s="117" t="str">
        <f>IFERROR(VLOOKUP($B35,Table4[],15, 0),"-")</f>
        <v>-</v>
      </c>
      <c r="H35" s="117" t="str">
        <f>IFERROR(VLOOKUP($B35,table5[],7, 0),"-")</f>
        <v>-</v>
      </c>
      <c r="I35" s="117" t="str">
        <f>IFERROR(VLOOKUP($B35,table6[],7, 0),"-")</f>
        <v>-</v>
      </c>
      <c r="J35" s="117" t="str">
        <f>IFERROR(VLOOKUP($B35,table7[],7, 0),"-")</f>
        <v>-</v>
      </c>
      <c r="K35" s="117" t="str">
        <f>IFERROR(VLOOKUP($B35,table8[],7, 0),"-")</f>
        <v>-</v>
      </c>
      <c r="L35" s="117" t="str">
        <f>IFERROR(VLOOKUP($B35,table9[],15, 0),"-")</f>
        <v>-</v>
      </c>
      <c r="M35" s="117" t="str">
        <f>IFERROR(VLOOKUP($B35,table10[],7, 0),"-")</f>
        <v>-</v>
      </c>
      <c r="N35" s="28">
        <f t="shared" si="0"/>
        <v>42</v>
      </c>
      <c r="O35" s="28"/>
      <c r="P35" s="6"/>
      <c r="Q35" s="6"/>
      <c r="R35" s="6"/>
    </row>
    <row r="36" spans="1:18" ht="15" x14ac:dyDescent="0.2">
      <c r="A36" s="54">
        <v>33</v>
      </c>
      <c r="B36" s="103" t="s">
        <v>98</v>
      </c>
      <c r="C36" s="27">
        <f>IFERROR(VLOOKUP(B36,Table16[],12,FALSE),0)</f>
        <v>4.01</v>
      </c>
      <c r="D36" s="117">
        <f>IFERROR(VLOOKUP($B36,table1[],7, 0),"-")</f>
        <v>4</v>
      </c>
      <c r="E36" s="117" t="str">
        <f>IFERROR(VLOOKUP($B36,Table2[],15, 0),"-")</f>
        <v>-</v>
      </c>
      <c r="F36" s="117" t="str">
        <f>IFERROR(VLOOKUP($B36,table3[],7, 0),"-")</f>
        <v>-</v>
      </c>
      <c r="G36" s="117">
        <f>IFERROR(VLOOKUP($B36,Table4[],15, 0),"-")</f>
        <v>25</v>
      </c>
      <c r="H36" s="117">
        <f>IFERROR(VLOOKUP($B36,table5[],7, 0),"-")</f>
        <v>12</v>
      </c>
      <c r="I36" s="117" t="str">
        <f>IFERROR(VLOOKUP($B36,table6[],7, 0),"-")</f>
        <v>-</v>
      </c>
      <c r="J36" s="117" t="str">
        <f>IFERROR(VLOOKUP($B36,table7[],7, 0),"-")</f>
        <v>-</v>
      </c>
      <c r="K36" s="117" t="str">
        <f>IFERROR(VLOOKUP($B36,table8[],7, 0),"-")</f>
        <v>-</v>
      </c>
      <c r="L36" s="117" t="str">
        <f>IFERROR(VLOOKUP($B36,table9[],15, 0),"-")</f>
        <v>-</v>
      </c>
      <c r="M36" s="117" t="str">
        <f>IFERROR(VLOOKUP($B36,table10[],7, 0),"-")</f>
        <v>-</v>
      </c>
      <c r="N36" s="28">
        <f t="shared" si="0"/>
        <v>41</v>
      </c>
      <c r="O36" s="14"/>
    </row>
    <row r="37" spans="1:18" ht="15" x14ac:dyDescent="0.2">
      <c r="A37" s="54">
        <v>34</v>
      </c>
      <c r="B37" s="54" t="s">
        <v>182</v>
      </c>
      <c r="C37" s="27">
        <f>IFERROR(VLOOKUP(B37,Table16[],12,FALSE),0)</f>
        <v>3.21</v>
      </c>
      <c r="D37" s="117">
        <f>IFERROR(VLOOKUP($B37,table1[],7, 0),"-")</f>
        <v>2</v>
      </c>
      <c r="E37" s="117">
        <f>IFERROR(VLOOKUP($B37,Table2[],15, 0),"-")</f>
        <v>13</v>
      </c>
      <c r="F37" s="117" t="str">
        <f>IFERROR(VLOOKUP($B37,table3[],7, 0),"-")</f>
        <v>-</v>
      </c>
      <c r="G37" s="117" t="str">
        <f>IFERROR(VLOOKUP($B37,Table4[],15, 0),"-")</f>
        <v>-</v>
      </c>
      <c r="H37" s="117" t="str">
        <f>IFERROR(VLOOKUP($B37,table5[],7, 0),"-")</f>
        <v>-</v>
      </c>
      <c r="I37" s="117">
        <f>IFERROR(VLOOKUP($B37,table6[],7, 0),"-")</f>
        <v>20</v>
      </c>
      <c r="J37" s="117" t="str">
        <f>IFERROR(VLOOKUP($B37,table7[],7, 0),"-")</f>
        <v>-</v>
      </c>
      <c r="K37" s="117" t="str">
        <f>IFERROR(VLOOKUP($B37,table8[],7, 0),"-")</f>
        <v>-</v>
      </c>
      <c r="L37" s="117" t="str">
        <f>IFERROR(VLOOKUP($B37,table9[],15, 0),"-")</f>
        <v>-</v>
      </c>
      <c r="M37" s="117" t="str">
        <f>IFERROR(VLOOKUP($B37,table10[],7, 0),"-")</f>
        <v>-</v>
      </c>
      <c r="N37" s="28">
        <f t="shared" si="0"/>
        <v>35</v>
      </c>
      <c r="O37" s="27"/>
      <c r="P37" s="6"/>
      <c r="Q37" s="6"/>
      <c r="R37" s="6"/>
    </row>
    <row r="38" spans="1:18" s="23" customFormat="1" ht="15" x14ac:dyDescent="0.2">
      <c r="A38" s="54">
        <v>35</v>
      </c>
      <c r="B38" s="54" t="s">
        <v>55</v>
      </c>
      <c r="C38" s="27">
        <f>IFERROR(VLOOKUP(B38,Table16[],12,FALSE),0)</f>
        <v>5.58</v>
      </c>
      <c r="D38" s="117" t="str">
        <f>IFERROR(VLOOKUP($B38,table1[],7, 0),"-")</f>
        <v>-</v>
      </c>
      <c r="E38" s="117" t="str">
        <f>IFERROR(VLOOKUP($B38,Table2[],15, 0),"-")</f>
        <v>-</v>
      </c>
      <c r="F38" s="117" t="str">
        <f>IFERROR(VLOOKUP($B38,table3[],7, 0),"-")</f>
        <v>-</v>
      </c>
      <c r="G38" s="117" t="str">
        <f>IFERROR(VLOOKUP($B38,Table4[],15, 0),"-")</f>
        <v>-</v>
      </c>
      <c r="H38" s="117">
        <f>IFERROR(VLOOKUP($B38,table5[],7, 0),"-")</f>
        <v>7</v>
      </c>
      <c r="I38" s="117">
        <f>IFERROR(VLOOKUP($B38,table6[],7, 0),"-")</f>
        <v>24</v>
      </c>
      <c r="J38" s="117">
        <f>IFERROR(VLOOKUP($B38,table7[],7, 0),"-")</f>
        <v>2</v>
      </c>
      <c r="K38" s="117" t="str">
        <f>IFERROR(VLOOKUP($B38,table8[],7, 0),"-")</f>
        <v>-</v>
      </c>
      <c r="L38" s="117" t="str">
        <f>IFERROR(VLOOKUP($B38,table9[],15, 0),"-")</f>
        <v>-</v>
      </c>
      <c r="M38" s="117" t="str">
        <f>IFERROR(VLOOKUP($B38,table10[],7, 0),"-")</f>
        <v>-</v>
      </c>
      <c r="N38" s="28">
        <f t="shared" si="0"/>
        <v>33</v>
      </c>
      <c r="O38" s="27"/>
      <c r="P38" s="24"/>
      <c r="Q38" s="24"/>
      <c r="R38" s="24"/>
    </row>
    <row r="39" spans="1:18" s="23" customFormat="1" ht="15" x14ac:dyDescent="0.2">
      <c r="A39" s="54">
        <v>36</v>
      </c>
      <c r="B39" s="103" t="s">
        <v>263</v>
      </c>
      <c r="C39" s="27">
        <f>IFERROR(VLOOKUP(B39,Table16[],12,FALSE),0)</f>
        <v>3.7</v>
      </c>
      <c r="D39" s="117">
        <f>IFERROR(VLOOKUP($B39,table1[],7, 0),"-")</f>
        <v>19</v>
      </c>
      <c r="E39" s="117" t="str">
        <f>IFERROR(VLOOKUP($B39,Table2[],15, 0),"-")</f>
        <v>-</v>
      </c>
      <c r="F39" s="117" t="str">
        <f>IFERROR(VLOOKUP($B39,table3[],7, 0),"-")</f>
        <v>-</v>
      </c>
      <c r="G39" s="117" t="str">
        <f>IFERROR(VLOOKUP($B39,Table4[],15, 0),"-")</f>
        <v>-</v>
      </c>
      <c r="H39" s="117" t="str">
        <f>IFERROR(VLOOKUP($B39,table5[],7, 0),"-")</f>
        <v>-</v>
      </c>
      <c r="I39" s="117">
        <f>IFERROR(VLOOKUP($B39,table6[],7, 0),"-")</f>
        <v>2</v>
      </c>
      <c r="J39" s="117">
        <f>IFERROR(VLOOKUP($B39,table7[],7, 0),"-")</f>
        <v>6</v>
      </c>
      <c r="K39" s="117">
        <f>IFERROR(VLOOKUP($B39,table8[],7, 0),"-")</f>
        <v>2</v>
      </c>
      <c r="L39" s="117" t="str">
        <f>IFERROR(VLOOKUP($B39,table9[],15, 0),"-")</f>
        <v>-</v>
      </c>
      <c r="M39" s="117" t="str">
        <f>IFERROR(VLOOKUP($B39,table10[],7, 0),"-")</f>
        <v>-</v>
      </c>
      <c r="N39" s="28">
        <f t="shared" si="0"/>
        <v>29</v>
      </c>
      <c r="O39" s="28"/>
      <c r="P39" s="24"/>
      <c r="Q39" s="24"/>
      <c r="R39" s="24"/>
    </row>
    <row r="40" spans="1:18" s="23" customFormat="1" ht="15" x14ac:dyDescent="0.2">
      <c r="A40" s="54">
        <v>37</v>
      </c>
      <c r="B40" s="54" t="s">
        <v>157</v>
      </c>
      <c r="C40" s="27">
        <f>IFERROR(VLOOKUP(B40,Table16[],12,FALSE),0)</f>
        <v>3.19</v>
      </c>
      <c r="D40" s="117" t="str">
        <f>IFERROR(VLOOKUP($B40,table1[],7, 0),"-")</f>
        <v>-</v>
      </c>
      <c r="E40" s="117">
        <f>IFERROR(VLOOKUP($B40,Table2[],15, 0),"-")</f>
        <v>2</v>
      </c>
      <c r="F40" s="117" t="str">
        <f>IFERROR(VLOOKUP($B40,table3[],7, 0),"-")</f>
        <v>-</v>
      </c>
      <c r="G40" s="117">
        <f>IFERROR(VLOOKUP($B40,Table4[],15, 0),"-")</f>
        <v>10</v>
      </c>
      <c r="H40" s="117" t="str">
        <f>IFERROR(VLOOKUP($B40,table5[],7, 0),"-")</f>
        <v>-</v>
      </c>
      <c r="I40" s="117" t="str">
        <f>IFERROR(VLOOKUP($B40,table6[],7, 0),"-")</f>
        <v>-</v>
      </c>
      <c r="J40" s="117" t="str">
        <f>IFERROR(VLOOKUP($B40,table7[],7, 0),"-")</f>
        <v>-</v>
      </c>
      <c r="K40" s="117" t="str">
        <f>IFERROR(VLOOKUP($B40,table8[],7, 0),"-")</f>
        <v>-</v>
      </c>
      <c r="L40" s="117">
        <f>IFERROR(VLOOKUP($B40,table9[],15, 0),"-")</f>
        <v>12</v>
      </c>
      <c r="M40" s="117" t="str">
        <f>IFERROR(VLOOKUP($B40,table10[],7, 0),"-")</f>
        <v>-</v>
      </c>
      <c r="N40" s="28">
        <f t="shared" si="0"/>
        <v>24</v>
      </c>
      <c r="O40" s="28"/>
      <c r="P40" s="24"/>
      <c r="Q40" s="24"/>
      <c r="R40" s="24"/>
    </row>
    <row r="41" spans="1:18" s="23" customFormat="1" ht="15" x14ac:dyDescent="0.2">
      <c r="A41" s="54">
        <v>38</v>
      </c>
      <c r="B41" s="140" t="s">
        <v>233</v>
      </c>
      <c r="C41" s="27">
        <f>IFERROR(VLOOKUP(B41,Table16[],12,FALSE),0)</f>
        <v>2.91</v>
      </c>
      <c r="D41" s="117" t="str">
        <f>IFERROR(VLOOKUP($B41,table1[],7, 0),"-")</f>
        <v>-</v>
      </c>
      <c r="E41" s="117" t="str">
        <f>IFERROR(VLOOKUP($B41,Table2[],15, 0),"-")</f>
        <v>-</v>
      </c>
      <c r="F41" s="117">
        <f>IFERROR(VLOOKUP($B41,table3[],7, 0),"-")</f>
        <v>13</v>
      </c>
      <c r="G41" s="117" t="str">
        <f>IFERROR(VLOOKUP($B41,Table4[],15, 0),"-")</f>
        <v>-</v>
      </c>
      <c r="H41" s="117" t="str">
        <f>IFERROR(VLOOKUP($B41,table5[],7, 0),"-")</f>
        <v>-</v>
      </c>
      <c r="I41" s="117" t="str">
        <f>IFERROR(VLOOKUP($B41,table6[],7, 0),"-")</f>
        <v>-</v>
      </c>
      <c r="J41" s="117" t="str">
        <f>IFERROR(VLOOKUP($B41,table7[],7, 0),"-")</f>
        <v>-</v>
      </c>
      <c r="K41" s="117">
        <f>IFERROR(VLOOKUP($B41,table8[],7, 0),"-")</f>
        <v>11</v>
      </c>
      <c r="L41" s="117" t="str">
        <f>IFERROR(VLOOKUP($B41,table9[],15, 0),"-")</f>
        <v>-</v>
      </c>
      <c r="M41" s="117" t="str">
        <f>IFERROR(VLOOKUP($B41,table10[],7, 0),"-")</f>
        <v>-</v>
      </c>
      <c r="N41" s="122">
        <f t="shared" si="0"/>
        <v>24</v>
      </c>
      <c r="O41" s="14"/>
    </row>
    <row r="42" spans="1:18" s="23" customFormat="1" ht="15" x14ac:dyDescent="0.2">
      <c r="A42" s="54">
        <v>39</v>
      </c>
      <c r="B42" s="103" t="s">
        <v>49</v>
      </c>
      <c r="C42" s="27">
        <f>IFERROR(VLOOKUP(B42,Table16[],12,FALSE),0)</f>
        <v>3.58</v>
      </c>
      <c r="D42" s="117">
        <f>IFERROR(VLOOKUP($B42,table1[],7, 0),"-")</f>
        <v>5</v>
      </c>
      <c r="E42" s="117" t="str">
        <f>IFERROR(VLOOKUP($B42,Table2[],15, 0),"-")</f>
        <v>-</v>
      </c>
      <c r="F42" s="117">
        <f>IFERROR(VLOOKUP($B42,table3[],7, 0),"-")</f>
        <v>3</v>
      </c>
      <c r="G42" s="117" t="str">
        <f>IFERROR(VLOOKUP($B42,Table4[],15, 0),"-")</f>
        <v>-</v>
      </c>
      <c r="H42" s="117" t="str">
        <f>IFERROR(VLOOKUP($B42,table5[],7, 0),"-")</f>
        <v>-</v>
      </c>
      <c r="I42" s="117" t="str">
        <f>IFERROR(VLOOKUP($B42,table6[],7, 0),"-")</f>
        <v>-</v>
      </c>
      <c r="J42" s="117">
        <f>IFERROR(VLOOKUP($B42,table7[],7, 0),"-")</f>
        <v>14</v>
      </c>
      <c r="K42" s="117" t="str">
        <f>IFERROR(VLOOKUP($B42,table8[],7, 0),"-")</f>
        <v>-</v>
      </c>
      <c r="L42" s="117" t="str">
        <f>IFERROR(VLOOKUP($B42,table9[],15, 0),"-")</f>
        <v>-</v>
      </c>
      <c r="M42" s="117" t="str">
        <f>IFERROR(VLOOKUP($B42,table10[],7, 0),"-")</f>
        <v>-</v>
      </c>
      <c r="N42" s="28">
        <f t="shared" si="0"/>
        <v>22</v>
      </c>
      <c r="O42" s="14"/>
    </row>
    <row r="43" spans="1:18" s="23" customFormat="1" ht="15" x14ac:dyDescent="0.2">
      <c r="A43" s="54">
        <v>40</v>
      </c>
      <c r="B43" s="103" t="s">
        <v>269</v>
      </c>
      <c r="C43" s="27">
        <f>IFERROR(VLOOKUP(B43,Table16[],12,FALSE),0)</f>
        <v>1.73</v>
      </c>
      <c r="D43" s="117" t="str">
        <f>IFERROR(VLOOKUP($B43,table1[],7, 0),"-")</f>
        <v>-</v>
      </c>
      <c r="E43" s="117" t="str">
        <f>IFERROR(VLOOKUP($B43,Table2[],15, 0),"-")</f>
        <v>-</v>
      </c>
      <c r="F43" s="117" t="str">
        <f>IFERROR(VLOOKUP($B43,table3[],7, 0),"-")</f>
        <v>-</v>
      </c>
      <c r="G43" s="117" t="str">
        <f>IFERROR(VLOOKUP($B43,Table4[],15, 0),"-")</f>
        <v>-</v>
      </c>
      <c r="H43" s="117" t="str">
        <f>IFERROR(VLOOKUP($B43,table5[],7, 0),"-")</f>
        <v>-</v>
      </c>
      <c r="I43" s="117" t="str">
        <f>IFERROR(VLOOKUP($B43,table6[],7, 0),"-")</f>
        <v>-</v>
      </c>
      <c r="J43" s="117" t="str">
        <f>IFERROR(VLOOKUP($B43,table7[],7, 0),"-")</f>
        <v>-</v>
      </c>
      <c r="K43" s="117">
        <f>IFERROR(VLOOKUP($B43,table8[],7, 0),"-")</f>
        <v>2</v>
      </c>
      <c r="L43" s="117" t="str">
        <f>IFERROR(VLOOKUP($B43,table9[],15, 0),"-")</f>
        <v>-</v>
      </c>
      <c r="M43" s="117">
        <f>IFERROR(VLOOKUP($B43,table10[],7, 0),"-")</f>
        <v>20</v>
      </c>
      <c r="N43" s="28">
        <f t="shared" si="0"/>
        <v>22</v>
      </c>
      <c r="O43" s="14"/>
    </row>
    <row r="44" spans="1:18" s="23" customFormat="1" ht="15" x14ac:dyDescent="0.2">
      <c r="A44" s="54">
        <v>41</v>
      </c>
      <c r="B44" s="54" t="s">
        <v>267</v>
      </c>
      <c r="C44" s="27">
        <f>IFERROR(VLOOKUP(B44,Table16[],12,FALSE),0)</f>
        <v>3.45</v>
      </c>
      <c r="D44" s="117" t="str">
        <f>IFERROR(VLOOKUP($B44,table1[],7, 0),"-")</f>
        <v>-</v>
      </c>
      <c r="E44" s="117" t="str">
        <f>IFERROR(VLOOKUP($B44,Table2[],15, 0),"-")</f>
        <v>-</v>
      </c>
      <c r="F44" s="117" t="str">
        <f>IFERROR(VLOOKUP($B44,table3[],7, 0),"-")</f>
        <v>-</v>
      </c>
      <c r="G44" s="117" t="str">
        <f>IFERROR(VLOOKUP($B44,Table4[],15, 0),"-")</f>
        <v>-</v>
      </c>
      <c r="H44" s="117">
        <f>IFERROR(VLOOKUP($B44,table5[],7, 0),"-")</f>
        <v>16</v>
      </c>
      <c r="I44" s="117" t="str">
        <f>IFERROR(VLOOKUP($B44,table6[],7, 0),"-")</f>
        <v>-</v>
      </c>
      <c r="J44" s="117" t="str">
        <f>IFERROR(VLOOKUP($B44,table7[],7, 0),"-")</f>
        <v>-</v>
      </c>
      <c r="K44" s="117" t="str">
        <f>IFERROR(VLOOKUP($B44,table8[],7, 0),"-")</f>
        <v>-</v>
      </c>
      <c r="L44" s="117" t="str">
        <f>IFERROR(VLOOKUP($B44,table9[],15, 0),"-")</f>
        <v>-</v>
      </c>
      <c r="M44" s="117" t="str">
        <f>IFERROR(VLOOKUP($B44,table10[],7, 0),"-")</f>
        <v>-</v>
      </c>
      <c r="N44" s="28">
        <f t="shared" si="0"/>
        <v>16</v>
      </c>
      <c r="O44" s="14"/>
    </row>
    <row r="45" spans="1:18" s="23" customFormat="1" ht="15" x14ac:dyDescent="0.2">
      <c r="A45" s="54">
        <v>42</v>
      </c>
      <c r="B45" s="103"/>
      <c r="C45" s="27">
        <f>IFERROR(VLOOKUP(B45,Table16[],12,FALSE),0)</f>
        <v>0</v>
      </c>
      <c r="D45" s="117" t="str">
        <f>IFERROR(VLOOKUP($B45,table1[],7, 0),"-")</f>
        <v>-</v>
      </c>
      <c r="E45" s="117" t="str">
        <f>IFERROR(VLOOKUP($B45,Table2[],15, 0),"-")</f>
        <v>-</v>
      </c>
      <c r="F45" s="117" t="str">
        <f>IFERROR(VLOOKUP($B45,table3[],7, 0),"-")</f>
        <v>-</v>
      </c>
      <c r="G45" s="117" t="str">
        <f>IFERROR(VLOOKUP($B45,Table4[],15, 0),"-")</f>
        <v>-</v>
      </c>
      <c r="H45" s="117" t="str">
        <f>IFERROR(VLOOKUP($B45,table5[],7, 0),"-")</f>
        <v>-</v>
      </c>
      <c r="I45" s="117" t="str">
        <f>IFERROR(VLOOKUP($B45,table6[],7, 0),"-")</f>
        <v>-</v>
      </c>
      <c r="J45" s="117" t="str">
        <f>IFERROR(VLOOKUP($B45,table7[],7, 0),"-")</f>
        <v>-</v>
      </c>
      <c r="K45" s="117" t="str">
        <f>IFERROR(VLOOKUP($B45,table8[],7, 0),"-")</f>
        <v>-</v>
      </c>
      <c r="L45" s="117" t="str">
        <f>IFERROR(VLOOKUP($B45,table9[],15, 0),"-")</f>
        <v>-</v>
      </c>
      <c r="M45" s="117" t="str">
        <f>IFERROR(VLOOKUP($B45,table10[],7, 0),"-")</f>
        <v>-</v>
      </c>
      <c r="N45" s="28">
        <f t="shared" si="0"/>
        <v>0</v>
      </c>
      <c r="O45" s="14"/>
    </row>
    <row r="46" spans="1:18" s="23" customFormat="1" ht="15" x14ac:dyDescent="0.2">
      <c r="A46" s="54">
        <v>43</v>
      </c>
      <c r="B46" s="54"/>
      <c r="C46" s="27">
        <f>IFERROR(VLOOKUP(B46,Table16[],12,FALSE),0)</f>
        <v>0</v>
      </c>
      <c r="D46" s="117" t="str">
        <f>IFERROR(VLOOKUP($B46,table1[],7, 0),"-")</f>
        <v>-</v>
      </c>
      <c r="E46" s="117" t="str">
        <f>IFERROR(VLOOKUP($B46,Table2[],15, 0),"-")</f>
        <v>-</v>
      </c>
      <c r="F46" s="117" t="str">
        <f>IFERROR(VLOOKUP($B46,table3[],7, 0),"-")</f>
        <v>-</v>
      </c>
      <c r="G46" s="117" t="str">
        <f>IFERROR(VLOOKUP($B46,Table4[],15, 0),"-")</f>
        <v>-</v>
      </c>
      <c r="H46" s="117" t="str">
        <f>IFERROR(VLOOKUP($B46,table5[],7, 0),"-")</f>
        <v>-</v>
      </c>
      <c r="I46" s="117" t="str">
        <f>IFERROR(VLOOKUP($B46,table6[],7, 0),"-")</f>
        <v>-</v>
      </c>
      <c r="J46" s="117" t="str">
        <f>IFERROR(VLOOKUP($B46,table7[],7, 0),"-")</f>
        <v>-</v>
      </c>
      <c r="K46" s="117" t="str">
        <f>IFERROR(VLOOKUP($B46,table8[],7, 0),"-")</f>
        <v>-</v>
      </c>
      <c r="L46" s="117" t="str">
        <f>IFERROR(VLOOKUP($B46,table9[],15, 0),"-")</f>
        <v>-</v>
      </c>
      <c r="M46" s="117" t="str">
        <f>IFERROR(VLOOKUP($B46,table10[],7, 0),"-")</f>
        <v>-</v>
      </c>
      <c r="N46" s="28">
        <f t="shared" si="0"/>
        <v>0</v>
      </c>
      <c r="O46" s="14"/>
    </row>
    <row r="47" spans="1:18" s="23" customFormat="1" ht="15" x14ac:dyDescent="0.2">
      <c r="A47" s="54">
        <v>44</v>
      </c>
      <c r="B47" s="54"/>
      <c r="C47" s="27">
        <f>IFERROR(VLOOKUP(B47,Table16[],12,FALSE),0)</f>
        <v>0</v>
      </c>
      <c r="D47" s="117" t="str">
        <f>IFERROR(VLOOKUP($B47,table1[],7, 0),"-")</f>
        <v>-</v>
      </c>
      <c r="E47" s="117" t="str">
        <f>IFERROR(VLOOKUP($B47,Table2[],15, 0),"-")</f>
        <v>-</v>
      </c>
      <c r="F47" s="117" t="str">
        <f>IFERROR(VLOOKUP($B47,table3[],7, 0),"-")</f>
        <v>-</v>
      </c>
      <c r="G47" s="117" t="str">
        <f>IFERROR(VLOOKUP($B47,Table4[],15, 0),"-")</f>
        <v>-</v>
      </c>
      <c r="H47" s="117" t="str">
        <f>IFERROR(VLOOKUP($B47,table5[],7, 0),"-")</f>
        <v>-</v>
      </c>
      <c r="I47" s="117" t="str">
        <f>IFERROR(VLOOKUP($B47,table6[],7, 0),"-")</f>
        <v>-</v>
      </c>
      <c r="J47" s="117" t="str">
        <f>IFERROR(VLOOKUP($B47,table7[],7, 0),"-")</f>
        <v>-</v>
      </c>
      <c r="K47" s="117" t="str">
        <f>IFERROR(VLOOKUP($B47,table8[],7, 0),"-")</f>
        <v>-</v>
      </c>
      <c r="L47" s="117" t="str">
        <f>IFERROR(VLOOKUP($B47,table9[],15, 0),"-")</f>
        <v>-</v>
      </c>
      <c r="M47" s="117" t="str">
        <f>IFERROR(VLOOKUP($B47,table10[],7, 0),"-")</f>
        <v>-</v>
      </c>
      <c r="N47" s="28">
        <f t="shared" si="0"/>
        <v>0</v>
      </c>
      <c r="O47" s="14"/>
    </row>
    <row r="48" spans="1:18" s="23" customFormat="1" ht="15" hidden="1" x14ac:dyDescent="0.2">
      <c r="A48" s="54">
        <v>45</v>
      </c>
      <c r="B48" s="54"/>
      <c r="C48" s="27">
        <f>IFERROR(VLOOKUP(B48,Table16[],12,FALSE),0)</f>
        <v>0</v>
      </c>
      <c r="D48" s="117" t="str">
        <f>IFERROR(VLOOKUP($B48,table1[],7, 0),"-")</f>
        <v>-</v>
      </c>
      <c r="E48" s="117" t="str">
        <f>IFERROR(VLOOKUP($B48,Table2[],15, 0),"-")</f>
        <v>-</v>
      </c>
      <c r="F48" s="117" t="str">
        <f>IFERROR(VLOOKUP($B48,table3[],7, 0),"-")</f>
        <v>-</v>
      </c>
      <c r="G48" s="117" t="str">
        <f>IFERROR(VLOOKUP($B48,Table4[],15, 0),"-")</f>
        <v>-</v>
      </c>
      <c r="H48" s="117" t="str">
        <f>IFERROR(VLOOKUP($B48,table5[],7, 0),"-")</f>
        <v>-</v>
      </c>
      <c r="I48" s="117" t="str">
        <f>IFERROR(VLOOKUP($B48,table6[],7, 0),"-")</f>
        <v>-</v>
      </c>
      <c r="J48" s="117" t="str">
        <f>IFERROR(VLOOKUP($B48,table7[],7, 0),"-")</f>
        <v>-</v>
      </c>
      <c r="K48" s="117" t="str">
        <f>IFERROR(VLOOKUP($B48,table8[],7, 0),"-")</f>
        <v>-</v>
      </c>
      <c r="L48" s="117" t="str">
        <f>IFERROR(VLOOKUP($B48,table9[],15, 0),"-")</f>
        <v>-</v>
      </c>
      <c r="M48" s="117" t="str">
        <f>IFERROR(VLOOKUP($B48,table10[],7, 0),"-")</f>
        <v>-</v>
      </c>
      <c r="N48" s="28">
        <f t="shared" ref="N48:N67" si="1">SUM(D48:M48)</f>
        <v>0</v>
      </c>
      <c r="O48" s="14"/>
    </row>
    <row r="49" spans="1:15" s="23" customFormat="1" ht="15" hidden="1" x14ac:dyDescent="0.2">
      <c r="A49" s="54">
        <v>46</v>
      </c>
      <c r="B49" s="54"/>
      <c r="C49" s="27">
        <f>IFERROR(VLOOKUP(B49,Table16[],12,FALSE),0)</f>
        <v>0</v>
      </c>
      <c r="D49" s="117" t="str">
        <f>IFERROR(VLOOKUP($B49,table1[],7, 0),"-")</f>
        <v>-</v>
      </c>
      <c r="E49" s="117" t="str">
        <f>IFERROR(VLOOKUP($B49,Table2[],15, 0),"-")</f>
        <v>-</v>
      </c>
      <c r="F49" s="117" t="str">
        <f>IFERROR(VLOOKUP($B49,table3[],7, 0),"-")</f>
        <v>-</v>
      </c>
      <c r="G49" s="117" t="str">
        <f>IFERROR(VLOOKUP($B49,Table4[],15, 0),"-")</f>
        <v>-</v>
      </c>
      <c r="H49" s="117" t="str">
        <f>IFERROR(VLOOKUP($B49,table5[],7, 0),"-")</f>
        <v>-</v>
      </c>
      <c r="I49" s="117" t="str">
        <f>IFERROR(VLOOKUP($B49,table6[],7, 0),"-")</f>
        <v>-</v>
      </c>
      <c r="J49" s="117" t="str">
        <f>IFERROR(VLOOKUP($B49,table7[],7, 0),"-")</f>
        <v>-</v>
      </c>
      <c r="K49" s="117" t="str">
        <f>IFERROR(VLOOKUP($B49,table8[],7, 0),"-")</f>
        <v>-</v>
      </c>
      <c r="L49" s="117" t="str">
        <f>IFERROR(VLOOKUP($B49,table9[],15, 0),"-")</f>
        <v>-</v>
      </c>
      <c r="M49" s="117" t="str">
        <f>IFERROR(VLOOKUP($B49,table10[],7, 0),"-")</f>
        <v>-</v>
      </c>
      <c r="N49" s="28">
        <f t="shared" si="1"/>
        <v>0</v>
      </c>
      <c r="O49" s="14"/>
    </row>
    <row r="50" spans="1:15" s="23" customFormat="1" ht="15" hidden="1" x14ac:dyDescent="0.2">
      <c r="A50" s="54">
        <v>47</v>
      </c>
      <c r="B50" s="54"/>
      <c r="C50" s="27">
        <f>IFERROR(VLOOKUP(B50,Table16[],12,FALSE),0)</f>
        <v>0</v>
      </c>
      <c r="D50" s="117" t="str">
        <f>IFERROR(VLOOKUP($B50,table1[],7, 0),"-")</f>
        <v>-</v>
      </c>
      <c r="E50" s="117" t="str">
        <f>IFERROR(VLOOKUP($B50,Table2[],15, 0),"-")</f>
        <v>-</v>
      </c>
      <c r="F50" s="117" t="str">
        <f>IFERROR(VLOOKUP($B50,table3[],7, 0),"-")</f>
        <v>-</v>
      </c>
      <c r="G50" s="117" t="str">
        <f>IFERROR(VLOOKUP($B50,Table4[],15, 0),"-")</f>
        <v>-</v>
      </c>
      <c r="H50" s="117" t="str">
        <f>IFERROR(VLOOKUP($B50,table5[],7, 0),"-")</f>
        <v>-</v>
      </c>
      <c r="I50" s="117" t="str">
        <f>IFERROR(VLOOKUP($B50,table6[],7, 0),"-")</f>
        <v>-</v>
      </c>
      <c r="J50" s="117" t="str">
        <f>IFERROR(VLOOKUP($B50,table7[],7, 0),"-")</f>
        <v>-</v>
      </c>
      <c r="K50" s="117" t="str">
        <f>IFERROR(VLOOKUP($B50,table8[],7, 0),"-")</f>
        <v>-</v>
      </c>
      <c r="L50" s="117" t="str">
        <f>IFERROR(VLOOKUP($B50,table9[],15, 0),"-")</f>
        <v>-</v>
      </c>
      <c r="M50" s="117" t="str">
        <f>IFERROR(VLOOKUP($B50,table10[],7, 0),"-")</f>
        <v>-</v>
      </c>
      <c r="N50" s="28">
        <f t="shared" si="1"/>
        <v>0</v>
      </c>
      <c r="O50" s="14"/>
    </row>
    <row r="51" spans="1:15" s="23" customFormat="1" ht="15" hidden="1" x14ac:dyDescent="0.2">
      <c r="A51" s="54">
        <v>48</v>
      </c>
      <c r="B51" s="54"/>
      <c r="C51" s="27">
        <f>IFERROR(VLOOKUP(B51,Table16[],12,FALSE),0)</f>
        <v>0</v>
      </c>
      <c r="D51" s="117" t="str">
        <f>IFERROR(VLOOKUP($B51,table1[],7, 0),"-")</f>
        <v>-</v>
      </c>
      <c r="E51" s="117" t="str">
        <f>IFERROR(VLOOKUP($B51,Table2[],15, 0),"-")</f>
        <v>-</v>
      </c>
      <c r="F51" s="117" t="str">
        <f>IFERROR(VLOOKUP($B51,table3[],7, 0),"-")</f>
        <v>-</v>
      </c>
      <c r="G51" s="117" t="str">
        <f>IFERROR(VLOOKUP($B51,Table4[],15, 0),"-")</f>
        <v>-</v>
      </c>
      <c r="H51" s="117" t="str">
        <f>IFERROR(VLOOKUP($B51,table5[],7, 0),"-")</f>
        <v>-</v>
      </c>
      <c r="I51" s="117" t="str">
        <f>IFERROR(VLOOKUP($B51,table6[],7, 0),"-")</f>
        <v>-</v>
      </c>
      <c r="J51" s="117" t="str">
        <f>IFERROR(VLOOKUP($B51,table7[],7, 0),"-")</f>
        <v>-</v>
      </c>
      <c r="K51" s="117" t="str">
        <f>IFERROR(VLOOKUP($B51,table8[],7, 0),"-")</f>
        <v>-</v>
      </c>
      <c r="L51" s="117" t="str">
        <f>IFERROR(VLOOKUP($B51,table9[],15, 0),"-")</f>
        <v>-</v>
      </c>
      <c r="M51" s="117" t="str">
        <f>IFERROR(VLOOKUP($B51,table10[],7, 0),"-")</f>
        <v>-</v>
      </c>
      <c r="N51" s="28">
        <f t="shared" si="1"/>
        <v>0</v>
      </c>
      <c r="O51" s="14"/>
    </row>
    <row r="52" spans="1:15" s="23" customFormat="1" ht="15" hidden="1" x14ac:dyDescent="0.2">
      <c r="A52" s="54">
        <v>49</v>
      </c>
      <c r="B52" s="54"/>
      <c r="C52" s="27">
        <f>IFERROR(VLOOKUP(B52,Table16[],12,FALSE),0)</f>
        <v>0</v>
      </c>
      <c r="D52" s="117" t="str">
        <f>IFERROR(VLOOKUP($B52,table1[],7, 0),"-")</f>
        <v>-</v>
      </c>
      <c r="E52" s="117" t="str">
        <f>IFERROR(VLOOKUP($B52,Table2[],15, 0),"-")</f>
        <v>-</v>
      </c>
      <c r="F52" s="117" t="str">
        <f>IFERROR(VLOOKUP($B52,table3[],7, 0),"-")</f>
        <v>-</v>
      </c>
      <c r="G52" s="117" t="str">
        <f>IFERROR(VLOOKUP($B52,Table4[],15, 0),"-")</f>
        <v>-</v>
      </c>
      <c r="H52" s="117" t="str">
        <f>IFERROR(VLOOKUP($B52,table5[],7, 0),"-")</f>
        <v>-</v>
      </c>
      <c r="I52" s="117" t="str">
        <f>IFERROR(VLOOKUP($B52,table6[],7, 0),"-")</f>
        <v>-</v>
      </c>
      <c r="J52" s="117" t="str">
        <f>IFERROR(VLOOKUP($B52,table7[],7, 0),"-")</f>
        <v>-</v>
      </c>
      <c r="K52" s="117" t="str">
        <f>IFERROR(VLOOKUP($B52,table8[],7, 0),"-")</f>
        <v>-</v>
      </c>
      <c r="L52" s="117" t="str">
        <f>IFERROR(VLOOKUP($B52,table9[],15, 0),"-")</f>
        <v>-</v>
      </c>
      <c r="M52" s="117" t="str">
        <f>IFERROR(VLOOKUP($B52,table10[],7, 0),"-")</f>
        <v>-</v>
      </c>
      <c r="N52" s="28">
        <f t="shared" si="1"/>
        <v>0</v>
      </c>
      <c r="O52" s="14"/>
    </row>
    <row r="53" spans="1:15" s="23" customFormat="1" ht="15" hidden="1" x14ac:dyDescent="0.2">
      <c r="A53" s="54">
        <v>50</v>
      </c>
      <c r="B53" s="140"/>
      <c r="C53" s="27">
        <f>IFERROR(VLOOKUP(B53,Table16[],12,FALSE),0)</f>
        <v>0</v>
      </c>
      <c r="D53" s="117" t="str">
        <f>IFERROR(VLOOKUP($B53,table1[],7, 0),"-")</f>
        <v>-</v>
      </c>
      <c r="E53" s="117" t="str">
        <f>IFERROR(VLOOKUP($B53,Table2[],15, 0),"-")</f>
        <v>-</v>
      </c>
      <c r="F53" s="117" t="str">
        <f>IFERROR(VLOOKUP($B53,table3[],7, 0),"-")</f>
        <v>-</v>
      </c>
      <c r="G53" s="117" t="str">
        <f>IFERROR(VLOOKUP($B53,Table4[],15, 0),"-")</f>
        <v>-</v>
      </c>
      <c r="H53" s="117" t="str">
        <f>IFERROR(VLOOKUP($B53,table5[],7, 0),"-")</f>
        <v>-</v>
      </c>
      <c r="I53" s="117" t="str">
        <f>IFERROR(VLOOKUP($B53,table6[],7, 0),"-")</f>
        <v>-</v>
      </c>
      <c r="J53" s="117" t="str">
        <f>IFERROR(VLOOKUP($B53,table7[],7, 0),"-")</f>
        <v>-</v>
      </c>
      <c r="K53" s="117" t="str">
        <f>IFERROR(VLOOKUP($B53,table8[],7, 0),"-")</f>
        <v>-</v>
      </c>
      <c r="L53" s="117" t="str">
        <f>IFERROR(VLOOKUP($B53,table9[],15, 0),"-")</f>
        <v>-</v>
      </c>
      <c r="M53" s="117" t="str">
        <f>IFERROR(VLOOKUP($B53,table10[],7, 0),"-")</f>
        <v>-</v>
      </c>
      <c r="N53" s="122">
        <f t="shared" si="1"/>
        <v>0</v>
      </c>
      <c r="O53" s="14"/>
    </row>
    <row r="54" spans="1:15" s="23" customFormat="1" ht="15" hidden="1" x14ac:dyDescent="0.2">
      <c r="A54" s="54">
        <v>51</v>
      </c>
      <c r="B54" s="140"/>
      <c r="C54" s="27">
        <f>IFERROR(VLOOKUP(B54,Table16[],12,FALSE),0)</f>
        <v>0</v>
      </c>
      <c r="D54" s="117" t="str">
        <f>IFERROR(VLOOKUP($B54,table1[],7, 0),"-")</f>
        <v>-</v>
      </c>
      <c r="E54" s="117" t="str">
        <f>IFERROR(VLOOKUP($B54,Table2[],15, 0),"-")</f>
        <v>-</v>
      </c>
      <c r="F54" s="117" t="str">
        <f>IFERROR(VLOOKUP($B54,table3[],7, 0),"-")</f>
        <v>-</v>
      </c>
      <c r="G54" s="117" t="str">
        <f>IFERROR(VLOOKUP($B54,Table4[],15, 0),"-")</f>
        <v>-</v>
      </c>
      <c r="H54" s="117" t="str">
        <f>IFERROR(VLOOKUP($B54,table5[],7, 0),"-")</f>
        <v>-</v>
      </c>
      <c r="I54" s="117" t="str">
        <f>IFERROR(VLOOKUP($B54,table6[],7, 0),"-")</f>
        <v>-</v>
      </c>
      <c r="J54" s="117" t="str">
        <f>IFERROR(VLOOKUP($B54,table7[],7, 0),"-")</f>
        <v>-</v>
      </c>
      <c r="K54" s="117" t="str">
        <f>IFERROR(VLOOKUP($B54,table8[],7, 0),"-")</f>
        <v>-</v>
      </c>
      <c r="L54" s="117" t="str">
        <f>IFERROR(VLOOKUP($B54,table9[],15, 0),"-")</f>
        <v>-</v>
      </c>
      <c r="M54" s="117" t="str">
        <f>IFERROR(VLOOKUP($B54,table10[],7, 0),"-")</f>
        <v>-</v>
      </c>
      <c r="N54" s="122">
        <f t="shared" si="1"/>
        <v>0</v>
      </c>
      <c r="O54" s="14"/>
    </row>
    <row r="55" spans="1:15" s="23" customFormat="1" ht="15" hidden="1" x14ac:dyDescent="0.2">
      <c r="A55" s="54">
        <v>52</v>
      </c>
      <c r="B55" s="140"/>
      <c r="C55" s="27">
        <f>IFERROR(VLOOKUP(B55,Table16[],12,FALSE),0)</f>
        <v>0</v>
      </c>
      <c r="D55" s="117" t="str">
        <f>IFERROR(VLOOKUP($B55,table1[],7, 0),"-")</f>
        <v>-</v>
      </c>
      <c r="E55" s="117" t="str">
        <f>IFERROR(VLOOKUP($B55,Table2[],15, 0),"-")</f>
        <v>-</v>
      </c>
      <c r="F55" s="117" t="str">
        <f>IFERROR(VLOOKUP($B55,table3[],7, 0),"-")</f>
        <v>-</v>
      </c>
      <c r="G55" s="117" t="str">
        <f>IFERROR(VLOOKUP($B55,Table4[],15, 0),"-")</f>
        <v>-</v>
      </c>
      <c r="H55" s="117" t="str">
        <f>IFERROR(VLOOKUP($B55,table5[],7, 0),"-")</f>
        <v>-</v>
      </c>
      <c r="I55" s="117" t="str">
        <f>IFERROR(VLOOKUP($B55,table6[],7, 0),"-")</f>
        <v>-</v>
      </c>
      <c r="J55" s="117" t="str">
        <f>IFERROR(VLOOKUP($B55,table7[],7, 0),"-")</f>
        <v>-</v>
      </c>
      <c r="K55" s="117" t="str">
        <f>IFERROR(VLOOKUP($B55,table8[],7, 0),"-")</f>
        <v>-</v>
      </c>
      <c r="L55" s="117" t="str">
        <f>IFERROR(VLOOKUP($B55,table9[],15, 0),"-")</f>
        <v>-</v>
      </c>
      <c r="M55" s="117" t="str">
        <f>IFERROR(VLOOKUP($B55,table10[],7, 0),"-")</f>
        <v>-</v>
      </c>
      <c r="N55" s="122">
        <f t="shared" si="1"/>
        <v>0</v>
      </c>
      <c r="O55" s="14"/>
    </row>
    <row r="56" spans="1:15" s="23" customFormat="1" ht="15" hidden="1" x14ac:dyDescent="0.2">
      <c r="A56" s="54">
        <v>53</v>
      </c>
      <c r="B56" s="140"/>
      <c r="C56" s="27">
        <f>IFERROR(VLOOKUP(B56,Table16[],12,FALSE),0)</f>
        <v>0</v>
      </c>
      <c r="D56" s="117" t="str">
        <f>IFERROR(VLOOKUP($B56,table1[],7, 0),"-")</f>
        <v>-</v>
      </c>
      <c r="E56" s="117" t="str">
        <f>IFERROR(VLOOKUP($B56,Table2[],15, 0),"-")</f>
        <v>-</v>
      </c>
      <c r="F56" s="117" t="str">
        <f>IFERROR(VLOOKUP($B56,table3[],7, 0),"-")</f>
        <v>-</v>
      </c>
      <c r="G56" s="117" t="str">
        <f>IFERROR(VLOOKUP($B56,Table4[],15, 0),"-")</f>
        <v>-</v>
      </c>
      <c r="H56" s="117" t="str">
        <f>IFERROR(VLOOKUP($B56,table5[],7, 0),"-")</f>
        <v>-</v>
      </c>
      <c r="I56" s="117" t="str">
        <f>IFERROR(VLOOKUP($B56,table6[],7, 0),"-")</f>
        <v>-</v>
      </c>
      <c r="J56" s="117" t="str">
        <f>IFERROR(VLOOKUP($B56,table7[],7, 0),"-")</f>
        <v>-</v>
      </c>
      <c r="K56" s="117" t="str">
        <f>IFERROR(VLOOKUP($B56,table8[],7, 0),"-")</f>
        <v>-</v>
      </c>
      <c r="L56" s="117" t="str">
        <f>IFERROR(VLOOKUP($B56,table9[],15, 0),"-")</f>
        <v>-</v>
      </c>
      <c r="M56" s="117" t="str">
        <f>IFERROR(VLOOKUP($B56,table10[],7, 0),"-")</f>
        <v>-</v>
      </c>
      <c r="N56" s="122">
        <f t="shared" si="1"/>
        <v>0</v>
      </c>
      <c r="O56" s="14"/>
    </row>
    <row r="57" spans="1:15" s="23" customFormat="1" ht="15" hidden="1" x14ac:dyDescent="0.2">
      <c r="A57" s="54">
        <v>54</v>
      </c>
      <c r="B57" s="54"/>
      <c r="C57" s="27">
        <f>IFERROR(VLOOKUP(B57,Table16[],12,FALSE),0)</f>
        <v>0</v>
      </c>
      <c r="D57" s="117" t="str">
        <f>IFERROR(VLOOKUP($B57,table1[],7, 0),"-")</f>
        <v>-</v>
      </c>
      <c r="E57" s="117" t="str">
        <f>IFERROR(VLOOKUP($B57,Table2[],15, 0),"-")</f>
        <v>-</v>
      </c>
      <c r="F57" s="117" t="str">
        <f>IFERROR(VLOOKUP($B57,table3[],7, 0),"-")</f>
        <v>-</v>
      </c>
      <c r="G57" s="117" t="str">
        <f>IFERROR(VLOOKUP($B57,Table4[],15, 0),"-")</f>
        <v>-</v>
      </c>
      <c r="H57" s="117" t="str">
        <f>IFERROR(VLOOKUP($B57,table5[],7, 0),"-")</f>
        <v>-</v>
      </c>
      <c r="I57" s="117" t="str">
        <f>IFERROR(VLOOKUP($B57,table6[],7, 0),"-")</f>
        <v>-</v>
      </c>
      <c r="J57" s="117" t="str">
        <f>IFERROR(VLOOKUP($B57,table7[],7, 0),"-")</f>
        <v>-</v>
      </c>
      <c r="K57" s="117" t="str">
        <f>IFERROR(VLOOKUP($B57,table8[],7, 0),"-")</f>
        <v>-</v>
      </c>
      <c r="L57" s="117" t="str">
        <f>IFERROR(VLOOKUP($B57,table9[],15, 0),"-")</f>
        <v>-</v>
      </c>
      <c r="M57" s="117" t="str">
        <f>IFERROR(VLOOKUP($B57,table10[],7, 0),"-")</f>
        <v>-</v>
      </c>
      <c r="N57" s="28">
        <f t="shared" si="1"/>
        <v>0</v>
      </c>
      <c r="O57" s="14"/>
    </row>
    <row r="58" spans="1:15" s="23" customFormat="1" ht="15" hidden="1" x14ac:dyDescent="0.2">
      <c r="A58" s="54">
        <v>55</v>
      </c>
      <c r="B58" s="54"/>
      <c r="C58" s="27">
        <f>IFERROR(VLOOKUP(B58,Table16[],12,FALSE),0)</f>
        <v>0</v>
      </c>
      <c r="D58" s="117" t="str">
        <f>IFERROR(VLOOKUP($B58,table1[],7, 0),"-")</f>
        <v>-</v>
      </c>
      <c r="E58" s="117" t="str">
        <f>IFERROR(VLOOKUP($B58,Table2[],15, 0),"-")</f>
        <v>-</v>
      </c>
      <c r="F58" s="117" t="str">
        <f>IFERROR(VLOOKUP($B58,table3[],7, 0),"-")</f>
        <v>-</v>
      </c>
      <c r="G58" s="117" t="str">
        <f>IFERROR(VLOOKUP($B58,Table4[],15, 0),"-")</f>
        <v>-</v>
      </c>
      <c r="H58" s="117" t="str">
        <f>IFERROR(VLOOKUP($B58,table5[],7, 0),"-")</f>
        <v>-</v>
      </c>
      <c r="I58" s="117" t="str">
        <f>IFERROR(VLOOKUP($B58,table6[],7, 0),"-")</f>
        <v>-</v>
      </c>
      <c r="J58" s="117" t="str">
        <f>IFERROR(VLOOKUP($B58,table7[],7, 0),"-")</f>
        <v>-</v>
      </c>
      <c r="K58" s="117" t="str">
        <f>IFERROR(VLOOKUP($B58,table8[],7, 0),"-")</f>
        <v>-</v>
      </c>
      <c r="L58" s="117" t="str">
        <f>IFERROR(VLOOKUP($B58,table9[],15, 0),"-")</f>
        <v>-</v>
      </c>
      <c r="M58" s="117" t="str">
        <f>IFERROR(VLOOKUP($B58,table10[],7, 0),"-")</f>
        <v>-</v>
      </c>
      <c r="N58" s="28">
        <f t="shared" si="1"/>
        <v>0</v>
      </c>
      <c r="O58" s="14"/>
    </row>
    <row r="59" spans="1:15" s="23" customFormat="1" ht="15" hidden="1" x14ac:dyDescent="0.2">
      <c r="A59" s="54">
        <v>56</v>
      </c>
      <c r="B59" s="54"/>
      <c r="C59" s="27">
        <f>IFERROR(VLOOKUP(B59,Table16[],12,FALSE),0)</f>
        <v>0</v>
      </c>
      <c r="D59" s="117" t="str">
        <f>IFERROR(VLOOKUP($B59,table1[],7, 0),"-")</f>
        <v>-</v>
      </c>
      <c r="E59" s="117" t="str">
        <f>IFERROR(VLOOKUP($B59,Table2[],15, 0),"-")</f>
        <v>-</v>
      </c>
      <c r="F59" s="117" t="str">
        <f>IFERROR(VLOOKUP($B59,table3[],7, 0),"-")</f>
        <v>-</v>
      </c>
      <c r="G59" s="117" t="str">
        <f>IFERROR(VLOOKUP($B59,Table4[],15, 0),"-")</f>
        <v>-</v>
      </c>
      <c r="H59" s="117" t="str">
        <f>IFERROR(VLOOKUP($B59,table5[],7, 0),"-")</f>
        <v>-</v>
      </c>
      <c r="I59" s="117" t="str">
        <f>IFERROR(VLOOKUP($B59,table6[],7, 0),"-")</f>
        <v>-</v>
      </c>
      <c r="J59" s="117" t="str">
        <f>IFERROR(VLOOKUP($B59,table7[],7, 0),"-")</f>
        <v>-</v>
      </c>
      <c r="K59" s="117" t="str">
        <f>IFERROR(VLOOKUP($B59,table8[],7, 0),"-")</f>
        <v>-</v>
      </c>
      <c r="L59" s="117" t="str">
        <f>IFERROR(VLOOKUP($B59,table9[],15, 0),"-")</f>
        <v>-</v>
      </c>
      <c r="M59" s="117" t="str">
        <f>IFERROR(VLOOKUP($B59,table10[],7, 0),"-")</f>
        <v>-</v>
      </c>
      <c r="N59" s="28">
        <f t="shared" si="1"/>
        <v>0</v>
      </c>
      <c r="O59" s="14"/>
    </row>
    <row r="60" spans="1:15" s="23" customFormat="1" ht="15" hidden="1" x14ac:dyDescent="0.2">
      <c r="A60" s="54">
        <v>57</v>
      </c>
      <c r="B60" s="54"/>
      <c r="C60" s="27">
        <f>IFERROR(VLOOKUP(B60,Table16[],12,FALSE),0)</f>
        <v>0</v>
      </c>
      <c r="D60" s="117" t="str">
        <f>IFERROR(VLOOKUP($B60,table1[],7, 0),"-")</f>
        <v>-</v>
      </c>
      <c r="E60" s="117" t="str">
        <f>IFERROR(VLOOKUP($B60,Table2[],15, 0),"-")</f>
        <v>-</v>
      </c>
      <c r="F60" s="117" t="str">
        <f>IFERROR(VLOOKUP($B60,table3[],7, 0),"-")</f>
        <v>-</v>
      </c>
      <c r="G60" s="117" t="str">
        <f>IFERROR(VLOOKUP($B60,Table4[],15, 0),"-")</f>
        <v>-</v>
      </c>
      <c r="H60" s="117" t="str">
        <f>IFERROR(VLOOKUP($B60,table5[],7, 0),"-")</f>
        <v>-</v>
      </c>
      <c r="I60" s="117" t="str">
        <f>IFERROR(VLOOKUP($B60,table6[],7, 0),"-")</f>
        <v>-</v>
      </c>
      <c r="J60" s="117" t="str">
        <f>IFERROR(VLOOKUP($B60,table7[],7, 0),"-")</f>
        <v>-</v>
      </c>
      <c r="K60" s="117" t="str">
        <f>IFERROR(VLOOKUP($B60,table8[],7, 0),"-")</f>
        <v>-</v>
      </c>
      <c r="L60" s="117" t="str">
        <f>IFERROR(VLOOKUP($B60,table9[],15, 0),"-")</f>
        <v>-</v>
      </c>
      <c r="M60" s="117" t="str">
        <f>IFERROR(VLOOKUP($B60,table10[],7, 0),"-")</f>
        <v>-</v>
      </c>
      <c r="N60" s="28">
        <f t="shared" si="1"/>
        <v>0</v>
      </c>
      <c r="O60" s="14"/>
    </row>
    <row r="61" spans="1:15" s="23" customFormat="1" ht="15" hidden="1" x14ac:dyDescent="0.2">
      <c r="A61" s="54">
        <v>58</v>
      </c>
      <c r="B61" s="54"/>
      <c r="C61" s="27">
        <f>IFERROR(VLOOKUP(B61,Table16[],12,FALSE),0)</f>
        <v>0</v>
      </c>
      <c r="D61" s="117" t="str">
        <f>IFERROR(VLOOKUP($B61,table1[],7, 0),"-")</f>
        <v>-</v>
      </c>
      <c r="E61" s="117" t="str">
        <f>IFERROR(VLOOKUP($B61,Table2[],15, 0),"-")</f>
        <v>-</v>
      </c>
      <c r="F61" s="117" t="str">
        <f>IFERROR(VLOOKUP($B61,table3[],7, 0),"-")</f>
        <v>-</v>
      </c>
      <c r="G61" s="117" t="str">
        <f>IFERROR(VLOOKUP($B61,Table4[],15, 0),"-")</f>
        <v>-</v>
      </c>
      <c r="H61" s="117" t="str">
        <f>IFERROR(VLOOKUP($B61,table5[],7, 0),"-")</f>
        <v>-</v>
      </c>
      <c r="I61" s="117" t="str">
        <f>IFERROR(VLOOKUP($B61,table6[],7, 0),"-")</f>
        <v>-</v>
      </c>
      <c r="J61" s="117" t="str">
        <f>IFERROR(VLOOKUP($B61,table7[],7, 0),"-")</f>
        <v>-</v>
      </c>
      <c r="K61" s="117" t="str">
        <f>IFERROR(VLOOKUP($B61,table8[],7, 0),"-")</f>
        <v>-</v>
      </c>
      <c r="L61" s="117" t="str">
        <f>IFERROR(VLOOKUP($B61,table9[],15, 0),"-")</f>
        <v>-</v>
      </c>
      <c r="M61" s="117" t="str">
        <f>IFERROR(VLOOKUP($B61,table10[],7, 0),"-")</f>
        <v>-</v>
      </c>
      <c r="N61" s="28">
        <f t="shared" si="1"/>
        <v>0</v>
      </c>
      <c r="O61" s="14"/>
    </row>
    <row r="62" spans="1:15" s="23" customFormat="1" ht="15" hidden="1" x14ac:dyDescent="0.2">
      <c r="A62" s="54">
        <v>59</v>
      </c>
      <c r="B62" s="54"/>
      <c r="C62" s="27">
        <f>IFERROR(VLOOKUP(B62,Table16[],12,FALSE),0)</f>
        <v>0</v>
      </c>
      <c r="D62" s="117" t="str">
        <f>IFERROR(VLOOKUP($B62,table1[],7, 0),"-")</f>
        <v>-</v>
      </c>
      <c r="E62" s="117" t="str">
        <f>IFERROR(VLOOKUP($B62,Table2[],15, 0),"-")</f>
        <v>-</v>
      </c>
      <c r="F62" s="117" t="str">
        <f>IFERROR(VLOOKUP($B62,table3[],7, 0),"-")</f>
        <v>-</v>
      </c>
      <c r="G62" s="117" t="str">
        <f>IFERROR(VLOOKUP($B62,Table4[],15, 0),"-")</f>
        <v>-</v>
      </c>
      <c r="H62" s="117" t="str">
        <f>IFERROR(VLOOKUP($B62,table5[],7, 0),"-")</f>
        <v>-</v>
      </c>
      <c r="I62" s="117" t="str">
        <f>IFERROR(VLOOKUP($B62,table6[],7, 0),"-")</f>
        <v>-</v>
      </c>
      <c r="J62" s="117" t="str">
        <f>IFERROR(VLOOKUP($B62,table7[],7, 0),"-")</f>
        <v>-</v>
      </c>
      <c r="K62" s="117" t="str">
        <f>IFERROR(VLOOKUP($B62,table8[],7, 0),"-")</f>
        <v>-</v>
      </c>
      <c r="L62" s="117" t="str">
        <f>IFERROR(VLOOKUP($B62,table9[],15, 0),"-")</f>
        <v>-</v>
      </c>
      <c r="M62" s="117" t="str">
        <f>IFERROR(VLOOKUP($B62,table10[],7, 0),"-")</f>
        <v>-</v>
      </c>
      <c r="N62" s="28">
        <f t="shared" si="1"/>
        <v>0</v>
      </c>
      <c r="O62" s="14"/>
    </row>
    <row r="63" spans="1:15" s="23" customFormat="1" ht="15" hidden="1" x14ac:dyDescent="0.2">
      <c r="A63" s="54">
        <v>60</v>
      </c>
      <c r="B63" s="54"/>
      <c r="C63" s="27">
        <f>IFERROR(VLOOKUP(B63,Table16[],12,FALSE),0)</f>
        <v>0</v>
      </c>
      <c r="D63" s="117" t="str">
        <f>IFERROR(VLOOKUP($B63,table1[],7, 0),"-")</f>
        <v>-</v>
      </c>
      <c r="E63" s="117" t="str">
        <f>IFERROR(VLOOKUP($B63,Table2[],15, 0),"-")</f>
        <v>-</v>
      </c>
      <c r="F63" s="117" t="str">
        <f>IFERROR(VLOOKUP($B63,table3[],7, 0),"-")</f>
        <v>-</v>
      </c>
      <c r="G63" s="117" t="str">
        <f>IFERROR(VLOOKUP($B63,Table4[],15, 0),"-")</f>
        <v>-</v>
      </c>
      <c r="H63" s="117" t="str">
        <f>IFERROR(VLOOKUP($B63,table5[],7, 0),"-")</f>
        <v>-</v>
      </c>
      <c r="I63" s="117" t="str">
        <f>IFERROR(VLOOKUP($B63,table6[],7, 0),"-")</f>
        <v>-</v>
      </c>
      <c r="J63" s="117" t="str">
        <f>IFERROR(VLOOKUP($B63,table7[],7, 0),"-")</f>
        <v>-</v>
      </c>
      <c r="K63" s="117" t="str">
        <f>IFERROR(VLOOKUP($B63,table8[],7, 0),"-")</f>
        <v>-</v>
      </c>
      <c r="L63" s="117" t="str">
        <f>IFERROR(VLOOKUP($B63,table9[],15, 0),"-")</f>
        <v>-</v>
      </c>
      <c r="M63" s="117" t="str">
        <f>IFERROR(VLOOKUP($B63,table10[],7, 0),"-")</f>
        <v>-</v>
      </c>
      <c r="N63" s="28">
        <f t="shared" si="1"/>
        <v>0</v>
      </c>
      <c r="O63" s="14"/>
    </row>
    <row r="64" spans="1:15" s="23" customFormat="1" ht="15" hidden="1" x14ac:dyDescent="0.2">
      <c r="A64" s="54">
        <v>61</v>
      </c>
      <c r="B64" s="54"/>
      <c r="C64" s="27">
        <f>IFERROR(VLOOKUP(B64,Table16[],12,FALSE),0)</f>
        <v>0</v>
      </c>
      <c r="D64" s="117" t="str">
        <f>IFERROR(VLOOKUP($B64,table1[],7, 0),"-")</f>
        <v>-</v>
      </c>
      <c r="E64" s="117" t="str">
        <f>IFERROR(VLOOKUP($B64,Table2[],15, 0),"-")</f>
        <v>-</v>
      </c>
      <c r="F64" s="117" t="str">
        <f>IFERROR(VLOOKUP($B64,table3[],7, 0),"-")</f>
        <v>-</v>
      </c>
      <c r="G64" s="117" t="str">
        <f>IFERROR(VLOOKUP($B64,Table4[],15, 0),"-")</f>
        <v>-</v>
      </c>
      <c r="H64" s="117" t="str">
        <f>IFERROR(VLOOKUP($B64,table5[],7, 0),"-")</f>
        <v>-</v>
      </c>
      <c r="I64" s="117" t="str">
        <f>IFERROR(VLOOKUP($B64,table6[],7, 0),"-")</f>
        <v>-</v>
      </c>
      <c r="J64" s="117" t="str">
        <f>IFERROR(VLOOKUP($B64,table7[],7, 0),"-")</f>
        <v>-</v>
      </c>
      <c r="K64" s="117" t="str">
        <f>IFERROR(VLOOKUP($B64,table8[],7, 0),"-")</f>
        <v>-</v>
      </c>
      <c r="L64" s="117" t="str">
        <f>IFERROR(VLOOKUP($B64,table9[],15, 0),"-")</f>
        <v>-</v>
      </c>
      <c r="M64" s="117" t="str">
        <f>IFERROR(VLOOKUP($B64,table10[],7, 0),"-")</f>
        <v>-</v>
      </c>
      <c r="N64" s="28">
        <f t="shared" si="1"/>
        <v>0</v>
      </c>
      <c r="O64" s="14"/>
    </row>
    <row r="65" spans="1:18" s="23" customFormat="1" ht="15" hidden="1" x14ac:dyDescent="0.2">
      <c r="A65" s="54">
        <v>62</v>
      </c>
      <c r="B65" s="54"/>
      <c r="C65" s="27">
        <f>IFERROR(VLOOKUP(B65,Table16[],12,FALSE),0)</f>
        <v>0</v>
      </c>
      <c r="D65" s="117" t="str">
        <f>IFERROR(VLOOKUP($B65,table1[],7, 0),"-")</f>
        <v>-</v>
      </c>
      <c r="E65" s="117" t="str">
        <f>IFERROR(VLOOKUP($B65,Table2[],15, 0),"-")</f>
        <v>-</v>
      </c>
      <c r="F65" s="117" t="str">
        <f>IFERROR(VLOOKUP($B65,table3[],7, 0),"-")</f>
        <v>-</v>
      </c>
      <c r="G65" s="117" t="str">
        <f>IFERROR(VLOOKUP($B65,Table4[],15, 0),"-")</f>
        <v>-</v>
      </c>
      <c r="H65" s="117" t="str">
        <f>IFERROR(VLOOKUP($B65,table5[],7, 0),"-")</f>
        <v>-</v>
      </c>
      <c r="I65" s="117" t="str">
        <f>IFERROR(VLOOKUP($B65,table6[],7, 0),"-")</f>
        <v>-</v>
      </c>
      <c r="J65" s="117" t="str">
        <f>IFERROR(VLOOKUP($B65,table7[],7, 0),"-")</f>
        <v>-</v>
      </c>
      <c r="K65" s="117" t="str">
        <f>IFERROR(VLOOKUP($B65,table8[],7, 0),"-")</f>
        <v>-</v>
      </c>
      <c r="L65" s="117" t="str">
        <f>IFERROR(VLOOKUP($B65,table9[],15, 0),"-")</f>
        <v>-</v>
      </c>
      <c r="M65" s="117" t="str">
        <f>IFERROR(VLOOKUP($B65,table10[],7, 0),"-")</f>
        <v>-</v>
      </c>
      <c r="N65" s="28">
        <f t="shared" si="1"/>
        <v>0</v>
      </c>
      <c r="O65" s="14"/>
    </row>
    <row r="66" spans="1:18" s="23" customFormat="1" ht="15" hidden="1" x14ac:dyDescent="0.2">
      <c r="A66" s="54">
        <v>63</v>
      </c>
      <c r="B66" s="54"/>
      <c r="C66" s="27">
        <f>IFERROR(VLOOKUP(B66,Table16[],12,FALSE),0)</f>
        <v>0</v>
      </c>
      <c r="D66" s="117" t="str">
        <f>IFERROR(VLOOKUP($B66,table1[],7, 0),"-")</f>
        <v>-</v>
      </c>
      <c r="E66" s="117" t="str">
        <f>IFERROR(VLOOKUP($B66,Table2[],15, 0),"-")</f>
        <v>-</v>
      </c>
      <c r="F66" s="117" t="str">
        <f>IFERROR(VLOOKUP($B66,table3[],7, 0),"-")</f>
        <v>-</v>
      </c>
      <c r="G66" s="117" t="str">
        <f>IFERROR(VLOOKUP($B66,Table4[],15, 0),"-")</f>
        <v>-</v>
      </c>
      <c r="H66" s="117" t="str">
        <f>IFERROR(VLOOKUP($B66,table5[],7, 0),"-")</f>
        <v>-</v>
      </c>
      <c r="I66" s="117" t="str">
        <f>IFERROR(VLOOKUP($B66,table6[],7, 0),"-")</f>
        <v>-</v>
      </c>
      <c r="J66" s="117" t="str">
        <f>IFERROR(VLOOKUP($B66,table7[],7, 0),"-")</f>
        <v>-</v>
      </c>
      <c r="K66" s="117" t="str">
        <f>IFERROR(VLOOKUP($B66,table8[],7, 0),"-")</f>
        <v>-</v>
      </c>
      <c r="L66" s="117" t="str">
        <f>IFERROR(VLOOKUP($B66,table9[],15, 0),"-")</f>
        <v>-</v>
      </c>
      <c r="M66" s="117" t="str">
        <f>IFERROR(VLOOKUP($B66,table10[],7, 0),"-")</f>
        <v>-</v>
      </c>
      <c r="N66" s="28">
        <f t="shared" si="1"/>
        <v>0</v>
      </c>
      <c r="O66" s="14"/>
    </row>
    <row r="67" spans="1:18" s="23" customFormat="1" ht="15" hidden="1" x14ac:dyDescent="0.2">
      <c r="A67" s="54">
        <v>64</v>
      </c>
      <c r="B67" s="54"/>
      <c r="C67" s="27">
        <f>IFERROR(VLOOKUP(B67,Table16[],12,FALSE),0)</f>
        <v>0</v>
      </c>
      <c r="D67" s="117" t="str">
        <f>IFERROR(VLOOKUP($B67,table1[],7, 0),"-")</f>
        <v>-</v>
      </c>
      <c r="E67" s="117" t="str">
        <f>IFERROR(VLOOKUP($B67,Table2[],15, 0),"-")</f>
        <v>-</v>
      </c>
      <c r="F67" s="117" t="str">
        <f>IFERROR(VLOOKUP($B67,table3[],7, 0),"-")</f>
        <v>-</v>
      </c>
      <c r="G67" s="117" t="str">
        <f>IFERROR(VLOOKUP($B67,Table4[],15, 0),"-")</f>
        <v>-</v>
      </c>
      <c r="H67" s="117" t="str">
        <f>IFERROR(VLOOKUP($B67,table5[],7, 0),"-")</f>
        <v>-</v>
      </c>
      <c r="I67" s="117" t="str">
        <f>IFERROR(VLOOKUP($B67,table6[],7, 0),"-")</f>
        <v>-</v>
      </c>
      <c r="J67" s="117" t="str">
        <f>IFERROR(VLOOKUP($B67,table7[],7, 0),"-")</f>
        <v>-</v>
      </c>
      <c r="K67" s="117" t="str">
        <f>IFERROR(VLOOKUP($B67,table8[],7, 0),"-")</f>
        <v>-</v>
      </c>
      <c r="L67" s="117" t="str">
        <f>IFERROR(VLOOKUP($B67,table9[],15, 0),"-")</f>
        <v>-</v>
      </c>
      <c r="M67" s="117" t="str">
        <f>IFERROR(VLOOKUP($B67,table10[],7, 0),"-")</f>
        <v>-</v>
      </c>
      <c r="N67" s="28">
        <f t="shared" si="1"/>
        <v>0</v>
      </c>
      <c r="O67" s="14"/>
    </row>
    <row r="68" spans="1:18" s="23" customFormat="1" ht="15" hidden="1" x14ac:dyDescent="0.2">
      <c r="A68" s="54">
        <v>65</v>
      </c>
      <c r="B68" s="54"/>
      <c r="C68" s="27">
        <f>IFERROR(VLOOKUP(B68,Table16[],12,FALSE),0)</f>
        <v>0</v>
      </c>
      <c r="D68" s="117" t="str">
        <f>IFERROR(VLOOKUP($B68,table1[],7, 0),"-")</f>
        <v>-</v>
      </c>
      <c r="E68" s="117" t="str">
        <f>IFERROR(VLOOKUP($B68,Table2[],15, 0),"-")</f>
        <v>-</v>
      </c>
      <c r="F68" s="117" t="str">
        <f>IFERROR(VLOOKUP($B68,table3[],7, 0),"-")</f>
        <v>-</v>
      </c>
      <c r="G68" s="117" t="str">
        <f>IFERROR(VLOOKUP($B68,Table4[],15, 0),"-")</f>
        <v>-</v>
      </c>
      <c r="H68" s="117" t="str">
        <f>IFERROR(VLOOKUP($B68,table5[],7, 0),"-")</f>
        <v>-</v>
      </c>
      <c r="I68" s="117" t="str">
        <f>IFERROR(VLOOKUP($B68,table6[],7, 0),"-")</f>
        <v>-</v>
      </c>
      <c r="J68" s="117" t="str">
        <f>IFERROR(VLOOKUP($B68,table7[],7, 0),"-")</f>
        <v>-</v>
      </c>
      <c r="K68" s="117" t="str">
        <f>IFERROR(VLOOKUP($B68,table8[],7, 0),"-")</f>
        <v>-</v>
      </c>
      <c r="L68" s="117" t="str">
        <f>IFERROR(VLOOKUP($B68,table9[],15, 0),"-")</f>
        <v>-</v>
      </c>
      <c r="M68" s="117" t="str">
        <f>IFERROR(VLOOKUP($B68,table10[],7, 0),"-")</f>
        <v>-</v>
      </c>
      <c r="N68" s="28">
        <f t="shared" ref="N68:N73" si="2">SUM(D68:M68)</f>
        <v>0</v>
      </c>
      <c r="O68" s="14"/>
    </row>
    <row r="69" spans="1:18" s="23" customFormat="1" ht="15" hidden="1" x14ac:dyDescent="0.2">
      <c r="A69" s="54">
        <v>66</v>
      </c>
      <c r="B69" s="54"/>
      <c r="C69" s="27">
        <f>IFERROR(VLOOKUP(B69,Table16[],12,FALSE),0)</f>
        <v>0</v>
      </c>
      <c r="D69" s="117" t="str">
        <f>IFERROR(VLOOKUP($B69,table1[],7, 0),"-")</f>
        <v>-</v>
      </c>
      <c r="E69" s="117" t="str">
        <f>IFERROR(VLOOKUP($B69,Table2[],15, 0),"-")</f>
        <v>-</v>
      </c>
      <c r="F69" s="117" t="str">
        <f>IFERROR(VLOOKUP($B69,table3[],7, 0),"-")</f>
        <v>-</v>
      </c>
      <c r="G69" s="117" t="str">
        <f>IFERROR(VLOOKUP($B69,Table4[],15, 0),"-")</f>
        <v>-</v>
      </c>
      <c r="H69" s="117" t="str">
        <f>IFERROR(VLOOKUP($B69,table5[],7, 0),"-")</f>
        <v>-</v>
      </c>
      <c r="I69" s="117" t="str">
        <f>IFERROR(VLOOKUP($B69,table6[],7, 0),"-")</f>
        <v>-</v>
      </c>
      <c r="J69" s="117" t="str">
        <f>IFERROR(VLOOKUP($B69,table7[],7, 0),"-")</f>
        <v>-</v>
      </c>
      <c r="K69" s="117" t="str">
        <f>IFERROR(VLOOKUP($B69,table8[],7, 0),"-")</f>
        <v>-</v>
      </c>
      <c r="L69" s="117" t="str">
        <f>IFERROR(VLOOKUP($B69,table9[],15, 0),"-")</f>
        <v>-</v>
      </c>
      <c r="M69" s="117" t="str">
        <f>IFERROR(VLOOKUP($B69,table10[],7, 0),"-")</f>
        <v>-</v>
      </c>
      <c r="N69" s="28">
        <f t="shared" si="2"/>
        <v>0</v>
      </c>
      <c r="O69" s="14"/>
    </row>
    <row r="70" spans="1:18" s="23" customFormat="1" ht="15" hidden="1" x14ac:dyDescent="0.2">
      <c r="A70" s="54">
        <v>67</v>
      </c>
      <c r="B70" s="28"/>
      <c r="C70" s="27">
        <f>IFERROR(VLOOKUP(B70,Table16[],12,FALSE),0)</f>
        <v>0</v>
      </c>
      <c r="D70" s="117" t="str">
        <f>IFERROR(VLOOKUP($B70,table1[],7, 0),"-")</f>
        <v>-</v>
      </c>
      <c r="E70" s="117" t="str">
        <f>IFERROR(VLOOKUP($B70,Table2[],15, 0),"-")</f>
        <v>-</v>
      </c>
      <c r="F70" s="117" t="str">
        <f>IFERROR(VLOOKUP($B70,table3[],7, 0),"-")</f>
        <v>-</v>
      </c>
      <c r="G70" s="117" t="str">
        <f>IFERROR(VLOOKUP($B70,Table4[],15, 0),"-")</f>
        <v>-</v>
      </c>
      <c r="H70" s="117" t="str">
        <f>IFERROR(VLOOKUP($B70,table5[],7, 0),"-")</f>
        <v>-</v>
      </c>
      <c r="I70" s="117" t="str">
        <f>IFERROR(VLOOKUP($B70,table6[],7, 0),"-")</f>
        <v>-</v>
      </c>
      <c r="J70" s="117" t="str">
        <f>IFERROR(VLOOKUP($B70,table7[],7, 0),"-")</f>
        <v>-</v>
      </c>
      <c r="K70" s="117" t="str">
        <f>IFERROR(VLOOKUP($B70,table8[],7, 0),"-")</f>
        <v>-</v>
      </c>
      <c r="L70" s="117" t="str">
        <f>IFERROR(VLOOKUP($B70,table9[],15, 0),"-")</f>
        <v>-</v>
      </c>
      <c r="M70" s="117" t="str">
        <f>IFERROR(VLOOKUP($B70,table10[],7, 0),"-")</f>
        <v>-</v>
      </c>
      <c r="N70" s="28">
        <f t="shared" si="2"/>
        <v>0</v>
      </c>
      <c r="O70" s="14"/>
    </row>
    <row r="71" spans="1:18" s="23" customFormat="1" ht="15" hidden="1" x14ac:dyDescent="0.2">
      <c r="A71" s="54">
        <v>68</v>
      </c>
      <c r="B71" s="28"/>
      <c r="C71" s="27">
        <f>IFERROR(VLOOKUP(B71,Table16[],12,FALSE),0)</f>
        <v>0</v>
      </c>
      <c r="D71" s="117" t="str">
        <f>IFERROR(VLOOKUP($B71,table1[],7, 0),"-")</f>
        <v>-</v>
      </c>
      <c r="E71" s="117" t="str">
        <f>IFERROR(VLOOKUP($B71,Table2[],15, 0),"-")</f>
        <v>-</v>
      </c>
      <c r="F71" s="117" t="str">
        <f>IFERROR(VLOOKUP($B71,table3[],7, 0),"-")</f>
        <v>-</v>
      </c>
      <c r="G71" s="117" t="str">
        <f>IFERROR(VLOOKUP($B71,Table4[],15, 0),"-")</f>
        <v>-</v>
      </c>
      <c r="H71" s="117" t="str">
        <f>IFERROR(VLOOKUP($B71,table5[],7, 0),"-")</f>
        <v>-</v>
      </c>
      <c r="I71" s="117" t="str">
        <f>IFERROR(VLOOKUP($B71,table6[],7, 0),"-")</f>
        <v>-</v>
      </c>
      <c r="J71" s="117" t="str">
        <f>IFERROR(VLOOKUP($B71,table7[],7, 0),"-")</f>
        <v>-</v>
      </c>
      <c r="K71" s="117" t="str">
        <f>IFERROR(VLOOKUP($B71,table8[],7, 0),"-")</f>
        <v>-</v>
      </c>
      <c r="L71" s="117" t="str">
        <f>IFERROR(VLOOKUP($B71,table9[],15, 0),"-")</f>
        <v>-</v>
      </c>
      <c r="M71" s="117" t="str">
        <f>IFERROR(VLOOKUP($B71,table10[],7, 0),"-")</f>
        <v>-</v>
      </c>
      <c r="N71" s="28">
        <f t="shared" si="2"/>
        <v>0</v>
      </c>
      <c r="O71" s="14"/>
    </row>
    <row r="72" spans="1:18" s="23" customFormat="1" ht="15" hidden="1" x14ac:dyDescent="0.2">
      <c r="A72" s="54">
        <v>69</v>
      </c>
      <c r="B72" s="28"/>
      <c r="C72" s="27">
        <f>IFERROR(VLOOKUP(B72,Table16[],12,FALSE),0)</f>
        <v>0</v>
      </c>
      <c r="D72" s="117" t="str">
        <f>IFERROR(VLOOKUP($B72,table1[],7, 0),"-")</f>
        <v>-</v>
      </c>
      <c r="E72" s="117" t="str">
        <f>IFERROR(VLOOKUP($B72,Table2[],15, 0),"-")</f>
        <v>-</v>
      </c>
      <c r="F72" s="117" t="str">
        <f>IFERROR(VLOOKUP($B72,table3[],7, 0),"-")</f>
        <v>-</v>
      </c>
      <c r="G72" s="117" t="str">
        <f>IFERROR(VLOOKUP($B72,Table4[],15, 0),"-")</f>
        <v>-</v>
      </c>
      <c r="H72" s="117" t="str">
        <f>IFERROR(VLOOKUP($B72,table5[],7, 0),"-")</f>
        <v>-</v>
      </c>
      <c r="I72" s="117" t="str">
        <f>IFERROR(VLOOKUP($B72,table6[],7, 0),"-")</f>
        <v>-</v>
      </c>
      <c r="J72" s="117" t="str">
        <f>IFERROR(VLOOKUP($B72,table7[],7, 0),"-")</f>
        <v>-</v>
      </c>
      <c r="K72" s="117" t="str">
        <f>IFERROR(VLOOKUP($B72,table8[],7, 0),"-")</f>
        <v>-</v>
      </c>
      <c r="L72" s="117" t="str">
        <f>IFERROR(VLOOKUP($B72,table9[],15, 0),"-")</f>
        <v>-</v>
      </c>
      <c r="M72" s="117" t="str">
        <f>IFERROR(VLOOKUP($B72,table10[],7, 0),"-")</f>
        <v>-</v>
      </c>
      <c r="N72" s="28">
        <f t="shared" si="2"/>
        <v>0</v>
      </c>
      <c r="O72" s="14"/>
    </row>
    <row r="73" spans="1:18" s="23" customFormat="1" ht="15" hidden="1" x14ac:dyDescent="0.2">
      <c r="A73" s="54">
        <v>70</v>
      </c>
      <c r="B73" s="28"/>
      <c r="C73" s="27">
        <f>IFERROR(VLOOKUP(B73,Table16[],12,FALSE),0)</f>
        <v>0</v>
      </c>
      <c r="D73" s="117" t="str">
        <f>IFERROR(VLOOKUP($B73,table1[],7, 0),"-")</f>
        <v>-</v>
      </c>
      <c r="E73" s="117" t="str">
        <f>IFERROR(VLOOKUP($B73,Table2[],15, 0),"-")</f>
        <v>-</v>
      </c>
      <c r="F73" s="117" t="str">
        <f>IFERROR(VLOOKUP($B73,table3[],7, 0),"-")</f>
        <v>-</v>
      </c>
      <c r="G73" s="117" t="str">
        <f>IFERROR(VLOOKUP($B73,Table4[],15, 0),"-")</f>
        <v>-</v>
      </c>
      <c r="H73" s="117" t="str">
        <f>IFERROR(VLOOKUP($B73,table5[],7, 0),"-")</f>
        <v>-</v>
      </c>
      <c r="I73" s="117" t="str">
        <f>IFERROR(VLOOKUP($B73,table6[],7, 0),"-")</f>
        <v>-</v>
      </c>
      <c r="J73" s="117" t="str">
        <f>IFERROR(VLOOKUP($B73,table7[],7, 0),"-")</f>
        <v>-</v>
      </c>
      <c r="K73" s="117" t="str">
        <f>IFERROR(VLOOKUP($B73,table8[],7, 0),"-")</f>
        <v>-</v>
      </c>
      <c r="L73" s="117" t="str">
        <f>IFERROR(VLOOKUP($B73,table9[],15, 0),"-")</f>
        <v>-</v>
      </c>
      <c r="M73" s="117" t="str">
        <f>IFERROR(VLOOKUP($B73,table10[],7, 0),"-")</f>
        <v>-</v>
      </c>
      <c r="N73" s="28">
        <f t="shared" si="2"/>
        <v>0</v>
      </c>
      <c r="O73" s="14"/>
    </row>
    <row r="74" spans="1:18" s="23" customFormat="1" ht="15" x14ac:dyDescent="0.2">
      <c r="A74" s="115"/>
      <c r="B74" s="115"/>
      <c r="C74" s="116"/>
      <c r="D74" s="17"/>
      <c r="E74" s="17"/>
      <c r="F74" s="17"/>
      <c r="G74" s="17"/>
      <c r="H74" s="17"/>
      <c r="I74" s="17"/>
      <c r="J74" s="19"/>
      <c r="K74" s="19"/>
      <c r="L74" s="19"/>
      <c r="M74" s="19"/>
      <c r="N74" s="17"/>
      <c r="O74" s="14"/>
    </row>
    <row r="75" spans="1:18" s="23" customFormat="1" ht="15" x14ac:dyDescent="0.2">
      <c r="A75" s="181" t="s">
        <v>177</v>
      </c>
      <c r="B75" s="181"/>
      <c r="C75" s="116"/>
      <c r="D75" s="19">
        <f>SUM('Otay 1'!C40)</f>
        <v>32</v>
      </c>
      <c r="E75" s="19">
        <f>SUM('Otay 2'!C39)</f>
        <v>32</v>
      </c>
      <c r="F75" s="19">
        <f>SUM('Otay 2'!C39)</f>
        <v>32</v>
      </c>
      <c r="G75" s="19">
        <f>SUM(Havasu!N36)</f>
        <v>29</v>
      </c>
      <c r="H75" s="19">
        <f>SUM('El Cap (6 hour)'!C43)</f>
        <v>29</v>
      </c>
      <c r="I75" s="19">
        <f>SUM('San V Night'!C33)</f>
        <v>28</v>
      </c>
      <c r="J75" s="19">
        <f>SUM('El Cap Night'!C35)</f>
        <v>29</v>
      </c>
      <c r="K75" s="19">
        <f>SUM('El Cap (6 hour) 2'!C32)</f>
        <v>26</v>
      </c>
      <c r="L75" s="19">
        <f>SUM(LCR!N30)</f>
        <v>156</v>
      </c>
      <c r="M75" s="19">
        <f>SUM('San V'!C27)</f>
        <v>22</v>
      </c>
      <c r="N75" s="19"/>
      <c r="O75" s="14"/>
    </row>
    <row r="76" spans="1:18" s="23" customFormat="1" ht="15" x14ac:dyDescent="0.2">
      <c r="A76" s="181" t="s">
        <v>86</v>
      </c>
      <c r="B76" s="181"/>
      <c r="C76" s="116"/>
      <c r="D76" s="19">
        <f>SUM('Otay 1'!C41)</f>
        <v>121</v>
      </c>
      <c r="E76" s="19">
        <f>SUM('Otay 2'!C40)</f>
        <v>151</v>
      </c>
      <c r="F76" s="19">
        <f>SUM('Otay 2'!C40)</f>
        <v>151</v>
      </c>
      <c r="G76" s="19">
        <f>SUM(Havasu!N37)</f>
        <v>213</v>
      </c>
      <c r="H76" s="19">
        <f>SUM('El Cap (6 hour)'!C44)</f>
        <v>123</v>
      </c>
      <c r="I76" s="19">
        <f>SUM('San V Night'!C34)</f>
        <v>79</v>
      </c>
      <c r="J76" s="19">
        <f>SUM('El Cap Night'!C36)</f>
        <v>84</v>
      </c>
      <c r="K76" s="19">
        <f>SUM('El Cap (6 hour) 2'!C33)</f>
        <v>95</v>
      </c>
      <c r="L76" s="19">
        <f>SUM(LCR!N31)</f>
        <v>156</v>
      </c>
      <c r="M76" s="19">
        <f>SUM('San V'!C28)</f>
        <v>84</v>
      </c>
      <c r="N76" s="19"/>
      <c r="O76" s="27"/>
      <c r="P76" s="24"/>
    </row>
    <row r="77" spans="1:18" s="23" customFormat="1" ht="15" x14ac:dyDescent="0.2">
      <c r="A77" s="181" t="s">
        <v>87</v>
      </c>
      <c r="B77" s="181"/>
      <c r="C77" s="116"/>
      <c r="D77" s="18">
        <f>SUM('Otay 1'!C42)</f>
        <v>245.65000000000009</v>
      </c>
      <c r="E77" s="18">
        <v>227.85499999999999</v>
      </c>
      <c r="F77" s="18">
        <f>SUM('Otay 2'!C41)</f>
        <v>329.03999999999996</v>
      </c>
      <c r="G77" s="18">
        <f>SUM(Havasu!N38)</f>
        <v>527.16999999999985</v>
      </c>
      <c r="H77" s="18">
        <f>SUM('El Cap (6 hour)'!C45)</f>
        <v>311.56000000000006</v>
      </c>
      <c r="I77" s="18">
        <f>SUM('San V Night'!C35)</f>
        <v>209.73999999999998</v>
      </c>
      <c r="J77" s="18">
        <f>SUM('El Cap Night'!C37)</f>
        <v>263.59999999999997</v>
      </c>
      <c r="K77" s="18">
        <f>SUM('El Cap (6 hour) 2'!C34)</f>
        <v>255.95999999999995</v>
      </c>
      <c r="L77" s="18">
        <f>SUM(LCR!N32)</f>
        <v>308.79000000000002</v>
      </c>
      <c r="M77" s="18">
        <f>SUM('San V'!C29)</f>
        <v>158.94</v>
      </c>
      <c r="N77" s="18"/>
      <c r="O77" s="27"/>
      <c r="P77" s="24"/>
    </row>
    <row r="78" spans="1:18" s="23" customFormat="1" ht="15" x14ac:dyDescent="0.2">
      <c r="A78" s="181" t="s">
        <v>88</v>
      </c>
      <c r="B78" s="181"/>
      <c r="C78" s="116"/>
      <c r="D78" s="18">
        <f>SUM('Otay 1'!C43)</f>
        <v>2.0301652892561992</v>
      </c>
      <c r="E78" s="18">
        <v>2.5884079016221877</v>
      </c>
      <c r="F78" s="18">
        <f>SUM('Otay 2'!C42)</f>
        <v>2.1790728476821188</v>
      </c>
      <c r="G78" s="18">
        <f>SUM(Havasu!N39)</f>
        <v>2.4749765258215954</v>
      </c>
      <c r="H78" s="18">
        <f>SUM('El Cap (6 hour)'!C46)</f>
        <v>2.5330081300813014</v>
      </c>
      <c r="I78" s="18">
        <f>SUM('San V Night'!C36)</f>
        <v>2.6549367088607592</v>
      </c>
      <c r="J78" s="18">
        <f>SUM('El Cap Night'!C38)</f>
        <v>3.1380952380952376</v>
      </c>
      <c r="K78" s="155">
        <f>SUM('El Cap (6 hour) 2'!C35)</f>
        <v>2.6943157894736838</v>
      </c>
      <c r="L78" s="18">
        <f>SUM(LCR!N33)</f>
        <v>1.979423076923077</v>
      </c>
      <c r="M78" s="18">
        <f>SUM('San V'!C30)</f>
        <v>1.8921428571428571</v>
      </c>
      <c r="N78" s="18"/>
      <c r="O78" s="27"/>
      <c r="P78" s="24"/>
      <c r="Q78" s="24"/>
      <c r="R78" s="24"/>
    </row>
    <row r="79" spans="1:18" s="23" customFormat="1" ht="15" x14ac:dyDescent="0.2">
      <c r="A79" s="181" t="s">
        <v>94</v>
      </c>
      <c r="B79" s="181"/>
      <c r="C79" s="116"/>
      <c r="D79" s="18">
        <f>SUM('Otay 1'!C44)</f>
        <v>3.78125</v>
      </c>
      <c r="E79" s="18">
        <v>3.911111111111111</v>
      </c>
      <c r="F79" s="18">
        <f>SUM('Otay 2'!C43)</f>
        <v>4.71875</v>
      </c>
      <c r="G79" s="18">
        <f>SUM(Havasu!N40)</f>
        <v>7.3448275862068968</v>
      </c>
      <c r="H79" s="18">
        <f>SUM('El Cap (6 hour)'!C47)</f>
        <v>4.2413793103448274</v>
      </c>
      <c r="I79" s="18">
        <f>SUM('San V Night'!C37)</f>
        <v>2.8214285714285716</v>
      </c>
      <c r="J79" s="18">
        <f>SUM('El Cap Night'!C39)</f>
        <v>2.896551724137931</v>
      </c>
      <c r="K79" s="155">
        <f>SUM('El Cap (6 hour) 2'!C36)</f>
        <v>3.6538461538461537</v>
      </c>
      <c r="L79" s="155">
        <f>SUM(LCR!N34)</f>
        <v>1</v>
      </c>
      <c r="M79" s="155">
        <f>SUM('San V'!C31)</f>
        <v>3.8181818181818183</v>
      </c>
      <c r="N79" s="17"/>
      <c r="O79" s="27"/>
      <c r="P79" s="24"/>
      <c r="Q79" s="24"/>
      <c r="R79" s="24"/>
    </row>
    <row r="80" spans="1:18" ht="15" x14ac:dyDescent="0.2">
      <c r="A80" s="120"/>
      <c r="B80" s="120"/>
      <c r="C80" s="116"/>
      <c r="D80" s="19"/>
      <c r="E80" s="18"/>
      <c r="F80" s="18"/>
      <c r="G80" s="18"/>
      <c r="H80" s="18"/>
      <c r="I80" s="18"/>
      <c r="J80" s="18"/>
      <c r="K80" s="18" t="s">
        <v>103</v>
      </c>
      <c r="L80" s="18"/>
      <c r="M80" s="18"/>
      <c r="N80" s="17"/>
    </row>
    <row r="81" spans="1:14" ht="15" x14ac:dyDescent="0.2">
      <c r="A81" s="181" t="s">
        <v>264</v>
      </c>
      <c r="B81" s="181"/>
      <c r="C81" s="181"/>
      <c r="D81" s="181"/>
      <c r="E81" s="181"/>
      <c r="F81" s="181"/>
      <c r="G81" s="181"/>
      <c r="H81" s="53"/>
      <c r="I81" s="18"/>
      <c r="J81" s="18"/>
      <c r="K81" s="18"/>
      <c r="L81" s="18"/>
      <c r="M81" s="18"/>
      <c r="N81" s="17"/>
    </row>
    <row r="82" spans="1:14" ht="15" x14ac:dyDescent="0.2">
      <c r="A82" s="181" t="s">
        <v>271</v>
      </c>
      <c r="B82" s="181"/>
      <c r="C82" s="181"/>
      <c r="D82" s="181"/>
      <c r="E82" s="181"/>
      <c r="F82" s="181"/>
      <c r="G82" s="181"/>
      <c r="H82" s="53"/>
      <c r="I82" s="18"/>
      <c r="J82" s="18"/>
      <c r="K82" s="18"/>
      <c r="L82" s="18"/>
      <c r="M82" s="18"/>
      <c r="N82" s="17" t="s">
        <v>103</v>
      </c>
    </row>
    <row r="83" spans="1:14" ht="15" x14ac:dyDescent="0.2">
      <c r="A83" s="181" t="s">
        <v>270</v>
      </c>
      <c r="B83" s="181"/>
      <c r="C83" s="181"/>
      <c r="D83" s="181"/>
      <c r="E83" s="181"/>
      <c r="F83" s="181"/>
      <c r="G83" s="181"/>
      <c r="H83" s="53"/>
      <c r="I83" s="18"/>
      <c r="J83" s="18"/>
      <c r="K83" s="18"/>
      <c r="L83" s="18"/>
      <c r="M83" s="18"/>
      <c r="N83" s="17"/>
    </row>
  </sheetData>
  <sortState ref="B4:N47">
    <sortCondition descending="1" ref="N4"/>
  </sortState>
  <mergeCells count="10">
    <mergeCell ref="A78:B78"/>
    <mergeCell ref="A79:B79"/>
    <mergeCell ref="A81:G81"/>
    <mergeCell ref="A82:G82"/>
    <mergeCell ref="A83:G83"/>
    <mergeCell ref="A77:B77"/>
    <mergeCell ref="A76:B76"/>
    <mergeCell ref="A75:B75"/>
    <mergeCell ref="A1:N1"/>
    <mergeCell ref="A2:N2"/>
  </mergeCells>
  <phoneticPr fontId="0" type="noConversion"/>
  <conditionalFormatting sqref="B1">
    <cfRule type="duplicateValues" dxfId="8" priority="2"/>
  </conditionalFormatting>
  <conditionalFormatting sqref="B4:B73">
    <cfRule type="duplicateValues" dxfId="7" priority="1"/>
  </conditionalFormatting>
  <printOptions horizontalCentered="1" verticalCentered="1"/>
  <pageMargins left="0.2" right="0.2" top="0.25" bottom="0.25" header="0" footer="0"/>
  <pageSetup scale="48" orientation="landscape" r:id="rId1"/>
  <headerFooter alignWithMargins="0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NameVal!$A:$A</xm:f>
          </x14:formula1>
          <xm:sqref>B3:B73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M101"/>
  <sheetViews>
    <sheetView topLeftCell="A28" zoomScaleNormal="100" workbookViewId="0">
      <selection activeCell="C2" sqref="C2"/>
    </sheetView>
  </sheetViews>
  <sheetFormatPr defaultRowHeight="20.25" x14ac:dyDescent="0.3"/>
  <cols>
    <col min="1" max="1" width="22.85546875" bestFit="1" customWidth="1"/>
    <col min="2" max="2" width="9.28515625" style="9" bestFit="1" customWidth="1"/>
    <col min="3" max="3" width="12.7109375" style="9" bestFit="1" customWidth="1"/>
    <col min="4" max="4" width="3.85546875" style="5" bestFit="1" customWidth="1"/>
    <col min="5" max="5" width="24.28515625" style="30" customWidth="1"/>
    <col min="6" max="6" width="42.5703125" style="30" customWidth="1"/>
    <col min="7" max="7" width="27" style="9" bestFit="1" customWidth="1"/>
    <col min="9" max="9" width="21.5703125" customWidth="1"/>
    <col min="13" max="13" width="9.140625" style="32"/>
  </cols>
  <sheetData>
    <row r="1" spans="1:13" s="23" customFormat="1" x14ac:dyDescent="0.3">
      <c r="B1" s="9"/>
      <c r="C1" s="9"/>
      <c r="D1" s="5"/>
      <c r="E1" s="44" t="s">
        <v>125</v>
      </c>
      <c r="F1" s="44" t="s">
        <v>127</v>
      </c>
      <c r="G1" s="44"/>
      <c r="M1" s="32"/>
    </row>
    <row r="2" spans="1:13" ht="15" x14ac:dyDescent="0.2">
      <c r="A2" s="45" t="str">
        <f t="shared" ref="A2:A33" si="0">CONCATENATE(B2," ",C2)</f>
        <v>Curtis Arneman</v>
      </c>
      <c r="B2" s="45" t="s">
        <v>107</v>
      </c>
      <c r="C2" s="45" t="s">
        <v>108</v>
      </c>
      <c r="D2"/>
      <c r="E2" s="31" t="s">
        <v>126</v>
      </c>
      <c r="F2" s="45"/>
      <c r="G2" s="45" t="s">
        <v>67</v>
      </c>
      <c r="H2" s="45" t="s">
        <v>167</v>
      </c>
      <c r="M2"/>
    </row>
    <row r="3" spans="1:13" s="23" customFormat="1" ht="15" x14ac:dyDescent="0.2">
      <c r="A3" s="45" t="str">
        <f t="shared" si="0"/>
        <v>Scott Ashley</v>
      </c>
      <c r="B3" s="45" t="s">
        <v>65</v>
      </c>
      <c r="C3" s="45" t="s">
        <v>66</v>
      </c>
      <c r="E3" s="31" t="s">
        <v>160</v>
      </c>
      <c r="F3" s="45"/>
      <c r="G3" s="45" t="s">
        <v>72</v>
      </c>
      <c r="H3" s="45" t="s">
        <v>167</v>
      </c>
    </row>
    <row r="4" spans="1:13" s="23" customFormat="1" ht="15" x14ac:dyDescent="0.2">
      <c r="A4" s="45" t="str">
        <f t="shared" si="0"/>
        <v>Mike Baird</v>
      </c>
      <c r="B4" s="45" t="s">
        <v>43</v>
      </c>
      <c r="C4" s="45" t="s">
        <v>68</v>
      </c>
      <c r="E4" s="31" t="s">
        <v>160</v>
      </c>
      <c r="F4" s="45"/>
      <c r="G4" s="45" t="s">
        <v>61</v>
      </c>
      <c r="H4" s="45" t="s">
        <v>167</v>
      </c>
    </row>
    <row r="5" spans="1:13" s="23" customFormat="1" ht="15" x14ac:dyDescent="0.2">
      <c r="A5" s="45" t="str">
        <f t="shared" si="0"/>
        <v>Brent Benish</v>
      </c>
      <c r="B5" s="45" t="s">
        <v>70</v>
      </c>
      <c r="C5" s="45" t="s">
        <v>71</v>
      </c>
      <c r="E5" s="31" t="s">
        <v>126</v>
      </c>
      <c r="F5" s="45"/>
      <c r="G5" s="45" t="s">
        <v>101</v>
      </c>
      <c r="H5" s="45" t="s">
        <v>167</v>
      </c>
    </row>
    <row r="6" spans="1:13" s="23" customFormat="1" ht="15" x14ac:dyDescent="0.2">
      <c r="A6" s="45" t="str">
        <f t="shared" si="0"/>
        <v>Buck Billock</v>
      </c>
      <c r="B6" s="45" t="s">
        <v>63</v>
      </c>
      <c r="C6" s="45" t="s">
        <v>62</v>
      </c>
      <c r="E6" s="31" t="s">
        <v>160</v>
      </c>
      <c r="F6" s="45"/>
      <c r="G6" s="45" t="s">
        <v>130</v>
      </c>
      <c r="H6" s="23" t="s">
        <v>167</v>
      </c>
    </row>
    <row r="7" spans="1:13" s="23" customFormat="1" ht="15" x14ac:dyDescent="0.2">
      <c r="A7" s="45" t="str">
        <f t="shared" si="0"/>
        <v>Cody Billock</v>
      </c>
      <c r="B7" s="45" t="s">
        <v>117</v>
      </c>
      <c r="C7" s="45" t="s">
        <v>62</v>
      </c>
      <c r="E7" s="31" t="s">
        <v>160</v>
      </c>
      <c r="F7" s="45"/>
      <c r="G7" s="45" t="s">
        <v>30</v>
      </c>
      <c r="H7" s="45" t="s">
        <v>167</v>
      </c>
    </row>
    <row r="8" spans="1:13" s="23" customFormat="1" ht="15.75" x14ac:dyDescent="0.25">
      <c r="A8" s="45" t="str">
        <f t="shared" si="0"/>
        <v>James Bogin</v>
      </c>
      <c r="B8" s="49" t="s">
        <v>131</v>
      </c>
      <c r="C8" s="49" t="s">
        <v>132</v>
      </c>
      <c r="D8" s="5"/>
      <c r="E8" s="30" t="s">
        <v>160</v>
      </c>
      <c r="F8" s="45"/>
      <c r="G8" s="45" t="s">
        <v>31</v>
      </c>
      <c r="H8" s="45" t="s">
        <v>167</v>
      </c>
    </row>
    <row r="9" spans="1:13" s="23" customFormat="1" ht="15" x14ac:dyDescent="0.2">
      <c r="A9" s="45" t="str">
        <f t="shared" si="0"/>
        <v>Bud Brant</v>
      </c>
      <c r="B9" s="45" t="s">
        <v>42</v>
      </c>
      <c r="C9" s="45" t="s">
        <v>44</v>
      </c>
      <c r="E9" s="31" t="s">
        <v>160</v>
      </c>
      <c r="F9" s="45"/>
      <c r="G9" s="45" t="s">
        <v>32</v>
      </c>
      <c r="H9" s="45" t="s">
        <v>167</v>
      </c>
    </row>
    <row r="10" spans="1:13" s="23" customFormat="1" ht="15" x14ac:dyDescent="0.2">
      <c r="A10" s="45" t="str">
        <f t="shared" si="0"/>
        <v>Josh Buller</v>
      </c>
      <c r="B10" s="49" t="s">
        <v>73</v>
      </c>
      <c r="C10" s="49" t="s">
        <v>74</v>
      </c>
      <c r="E10" s="31" t="s">
        <v>126</v>
      </c>
      <c r="F10" s="45"/>
      <c r="G10" s="45" t="s">
        <v>59</v>
      </c>
      <c r="H10" s="45" t="s">
        <v>167</v>
      </c>
    </row>
    <row r="11" spans="1:13" s="23" customFormat="1" ht="15" x14ac:dyDescent="0.2">
      <c r="A11" s="45" t="str">
        <f t="shared" si="0"/>
        <v>Cheryl Byrd</v>
      </c>
      <c r="B11" s="45" t="s">
        <v>161</v>
      </c>
      <c r="C11" s="45" t="s">
        <v>2</v>
      </c>
      <c r="E11" s="31"/>
      <c r="F11" s="45"/>
      <c r="G11" s="45" t="s">
        <v>48</v>
      </c>
      <c r="H11" s="45" t="s">
        <v>167</v>
      </c>
    </row>
    <row r="12" spans="1:13" s="23" customFormat="1" ht="15" x14ac:dyDescent="0.2">
      <c r="A12" s="45" t="str">
        <f t="shared" si="0"/>
        <v>Ed Byrd</v>
      </c>
      <c r="B12" s="45" t="s">
        <v>3</v>
      </c>
      <c r="C12" s="45" t="s">
        <v>2</v>
      </c>
      <c r="E12" s="31" t="s">
        <v>126</v>
      </c>
      <c r="F12" s="45"/>
      <c r="G12" s="45" t="s">
        <v>49</v>
      </c>
      <c r="H12" s="45" t="s">
        <v>167</v>
      </c>
    </row>
    <row r="13" spans="1:13" s="23" customFormat="1" ht="15" x14ac:dyDescent="0.2">
      <c r="A13" s="45" t="str">
        <f t="shared" si="0"/>
        <v>Jeff Carpenter</v>
      </c>
      <c r="B13" s="45" t="s">
        <v>17</v>
      </c>
      <c r="C13" s="45" t="s">
        <v>76</v>
      </c>
      <c r="E13" s="31" t="s">
        <v>126</v>
      </c>
      <c r="F13" s="45"/>
      <c r="G13" s="45" t="s">
        <v>50</v>
      </c>
      <c r="H13" s="45" t="s">
        <v>167</v>
      </c>
    </row>
    <row r="14" spans="1:13" s="23" customFormat="1" ht="15" x14ac:dyDescent="0.2">
      <c r="A14" s="45" t="str">
        <f t="shared" si="0"/>
        <v>Terry Chenowth</v>
      </c>
      <c r="B14" s="45" t="s">
        <v>6</v>
      </c>
      <c r="C14" s="45" t="s">
        <v>5</v>
      </c>
      <c r="E14" s="31" t="s">
        <v>126</v>
      </c>
      <c r="F14" s="45"/>
      <c r="G14" s="45" t="s">
        <v>51</v>
      </c>
      <c r="H14" s="45" t="s">
        <v>167</v>
      </c>
    </row>
    <row r="15" spans="1:13" s="23" customFormat="1" ht="15" x14ac:dyDescent="0.2">
      <c r="A15" s="45" t="str">
        <f t="shared" si="0"/>
        <v>Keith Cloward</v>
      </c>
      <c r="B15" s="45" t="s">
        <v>64</v>
      </c>
      <c r="C15" s="45" t="s">
        <v>60</v>
      </c>
      <c r="E15" s="31" t="s">
        <v>126</v>
      </c>
      <c r="F15" s="45"/>
      <c r="G15" s="45" t="s">
        <v>129</v>
      </c>
      <c r="H15" s="23" t="s">
        <v>167</v>
      </c>
    </row>
    <row r="16" spans="1:13" s="23" customFormat="1" ht="15" x14ac:dyDescent="0.2">
      <c r="A16" s="45" t="str">
        <f t="shared" si="0"/>
        <v>Juan Collins</v>
      </c>
      <c r="B16" s="45" t="s">
        <v>8</v>
      </c>
      <c r="C16" s="45" t="s">
        <v>7</v>
      </c>
      <c r="E16" s="31" t="s">
        <v>126</v>
      </c>
      <c r="F16" s="45"/>
      <c r="G16" s="45" t="s">
        <v>102</v>
      </c>
      <c r="H16" s="45" t="s">
        <v>167</v>
      </c>
    </row>
    <row r="17" spans="1:8" s="23" customFormat="1" ht="15" x14ac:dyDescent="0.2">
      <c r="A17" s="45" t="str">
        <f t="shared" si="0"/>
        <v>Joe DeSalvo</v>
      </c>
      <c r="B17" s="45" t="s">
        <v>4</v>
      </c>
      <c r="C17" s="45" t="s">
        <v>109</v>
      </c>
      <c r="E17" s="31" t="s">
        <v>160</v>
      </c>
      <c r="F17" s="45"/>
      <c r="G17" s="45" t="s">
        <v>33</v>
      </c>
      <c r="H17" s="45" t="s">
        <v>167</v>
      </c>
    </row>
    <row r="18" spans="1:8" s="23" customFormat="1" ht="15" x14ac:dyDescent="0.2">
      <c r="A18" s="45" t="str">
        <f t="shared" si="0"/>
        <v>Cesar Diosdado</v>
      </c>
      <c r="B18" s="45" t="s">
        <v>11</v>
      </c>
      <c r="C18" s="45" t="s">
        <v>10</v>
      </c>
      <c r="E18" s="31" t="s">
        <v>160</v>
      </c>
      <c r="F18" s="45"/>
      <c r="G18" s="45" t="s">
        <v>122</v>
      </c>
      <c r="H18" s="45" t="s">
        <v>167</v>
      </c>
    </row>
    <row r="19" spans="1:8" s="23" customFormat="1" ht="15" x14ac:dyDescent="0.2">
      <c r="A19" s="45" t="str">
        <f t="shared" si="0"/>
        <v>Adam East</v>
      </c>
      <c r="B19" s="45" t="s">
        <v>142</v>
      </c>
      <c r="C19" s="45" t="s">
        <v>143</v>
      </c>
      <c r="E19" s="31" t="s">
        <v>160</v>
      </c>
      <c r="F19" s="45"/>
      <c r="G19" s="45" t="s">
        <v>93</v>
      </c>
      <c r="H19" s="45" t="s">
        <v>167</v>
      </c>
    </row>
    <row r="20" spans="1:8" s="23" customFormat="1" ht="15" x14ac:dyDescent="0.2">
      <c r="A20" s="45" t="str">
        <f t="shared" si="0"/>
        <v>Janice Eisner</v>
      </c>
      <c r="B20" s="45" t="s">
        <v>27</v>
      </c>
      <c r="C20" s="45" t="s">
        <v>26</v>
      </c>
      <c r="E20" s="31" t="s">
        <v>160</v>
      </c>
      <c r="F20" s="45"/>
      <c r="G20" s="45" t="s">
        <v>123</v>
      </c>
      <c r="H20" s="45" t="s">
        <v>167</v>
      </c>
    </row>
    <row r="21" spans="1:8" s="23" customFormat="1" ht="15" x14ac:dyDescent="0.2">
      <c r="A21" s="45" t="str">
        <f t="shared" si="0"/>
        <v>Gene Estabrook</v>
      </c>
      <c r="B21" s="45" t="s">
        <v>110</v>
      </c>
      <c r="C21" s="45" t="s">
        <v>111</v>
      </c>
      <c r="E21" s="31" t="s">
        <v>126</v>
      </c>
      <c r="F21" s="45"/>
      <c r="G21" s="45" t="s">
        <v>156</v>
      </c>
      <c r="H21" s="45" t="s">
        <v>167</v>
      </c>
    </row>
    <row r="22" spans="1:8" s="23" customFormat="1" ht="15.75" x14ac:dyDescent="0.25">
      <c r="A22" s="45" t="str">
        <f t="shared" si="0"/>
        <v>Bobby Foreman</v>
      </c>
      <c r="B22" s="49" t="s">
        <v>133</v>
      </c>
      <c r="C22" s="49" t="s">
        <v>124</v>
      </c>
      <c r="D22" s="5"/>
      <c r="E22" s="30" t="s">
        <v>160</v>
      </c>
      <c r="F22" s="45"/>
      <c r="G22" s="45" t="s">
        <v>138</v>
      </c>
      <c r="H22" s="45" t="s">
        <v>167</v>
      </c>
    </row>
    <row r="23" spans="1:8" s="23" customFormat="1" ht="15" x14ac:dyDescent="0.2">
      <c r="A23" s="45" t="str">
        <f t="shared" si="0"/>
        <v>Terry Foreman</v>
      </c>
      <c r="B23" s="45" t="s">
        <v>6</v>
      </c>
      <c r="C23" s="45" t="s">
        <v>124</v>
      </c>
      <c r="E23" s="31" t="s">
        <v>126</v>
      </c>
      <c r="F23" s="45"/>
      <c r="G23" s="45" t="s">
        <v>34</v>
      </c>
      <c r="H23" s="45" t="s">
        <v>167</v>
      </c>
    </row>
    <row r="24" spans="1:8" s="23" customFormat="1" ht="15" x14ac:dyDescent="0.2">
      <c r="A24" s="45" t="str">
        <f t="shared" si="0"/>
        <v>Greg Gardner</v>
      </c>
      <c r="B24" s="45" t="s">
        <v>13</v>
      </c>
      <c r="C24" s="45" t="s">
        <v>12</v>
      </c>
      <c r="E24" s="31" t="s">
        <v>126</v>
      </c>
      <c r="F24" s="45"/>
      <c r="G24" s="45" t="s">
        <v>35</v>
      </c>
      <c r="H24" s="45" t="s">
        <v>167</v>
      </c>
    </row>
    <row r="25" spans="1:8" s="23" customFormat="1" ht="15" x14ac:dyDescent="0.2">
      <c r="A25" s="45" t="str">
        <f t="shared" si="0"/>
        <v>Zoé Gardner</v>
      </c>
      <c r="B25" s="45" t="s">
        <v>57</v>
      </c>
      <c r="C25" s="45" t="s">
        <v>12</v>
      </c>
      <c r="E25" s="31" t="s">
        <v>126</v>
      </c>
      <c r="F25" s="45"/>
      <c r="G25" s="45" t="s">
        <v>79</v>
      </c>
      <c r="H25" s="45" t="s">
        <v>167</v>
      </c>
    </row>
    <row r="26" spans="1:8" s="23" customFormat="1" ht="15" x14ac:dyDescent="0.2">
      <c r="A26" s="45" t="str">
        <f t="shared" si="0"/>
        <v>Boomer Glasner</v>
      </c>
      <c r="B26" s="45" t="s">
        <v>144</v>
      </c>
      <c r="C26" s="45" t="s">
        <v>145</v>
      </c>
      <c r="E26" s="31" t="s">
        <v>126</v>
      </c>
      <c r="F26" s="45"/>
      <c r="G26" s="45" t="s">
        <v>53</v>
      </c>
      <c r="H26" s="45" t="s">
        <v>167</v>
      </c>
    </row>
    <row r="27" spans="1:8" s="23" customFormat="1" ht="15" x14ac:dyDescent="0.2">
      <c r="A27" s="45" t="str">
        <f t="shared" si="0"/>
        <v>Ernie Guillen</v>
      </c>
      <c r="B27" s="45" t="s">
        <v>120</v>
      </c>
      <c r="C27" s="45" t="s">
        <v>121</v>
      </c>
      <c r="E27" s="31" t="s">
        <v>160</v>
      </c>
      <c r="F27" s="45"/>
      <c r="G27" s="45" t="s">
        <v>100</v>
      </c>
      <c r="H27" s="45" t="s">
        <v>167</v>
      </c>
    </row>
    <row r="28" spans="1:8" s="23" customFormat="1" ht="15" x14ac:dyDescent="0.2">
      <c r="A28" s="45" t="str">
        <f t="shared" si="0"/>
        <v>Sonny Hale</v>
      </c>
      <c r="B28" s="45" t="s">
        <v>95</v>
      </c>
      <c r="C28" s="45" t="s">
        <v>92</v>
      </c>
      <c r="E28" s="31" t="s">
        <v>160</v>
      </c>
      <c r="F28" s="45"/>
      <c r="G28" s="45" t="s">
        <v>139</v>
      </c>
      <c r="H28" s="45" t="s">
        <v>167</v>
      </c>
    </row>
    <row r="29" spans="1:8" s="23" customFormat="1" ht="15" x14ac:dyDescent="0.2">
      <c r="A29" s="45" t="str">
        <f t="shared" si="0"/>
        <v>Bart Hegeler</v>
      </c>
      <c r="B29" s="45" t="s">
        <v>118</v>
      </c>
      <c r="C29" s="45" t="s">
        <v>119</v>
      </c>
      <c r="E29" s="31" t="s">
        <v>126</v>
      </c>
      <c r="F29" s="45"/>
      <c r="G29" s="45" t="s">
        <v>81</v>
      </c>
      <c r="H29" s="45" t="s">
        <v>167</v>
      </c>
    </row>
    <row r="30" spans="1:8" s="23" customFormat="1" ht="15.75" x14ac:dyDescent="0.25">
      <c r="A30" s="45" t="str">
        <f t="shared" si="0"/>
        <v>Barton Hegeler</v>
      </c>
      <c r="B30" s="49" t="s">
        <v>155</v>
      </c>
      <c r="C30" s="49" t="s">
        <v>119</v>
      </c>
      <c r="D30" s="5"/>
      <c r="E30" s="31" t="s">
        <v>126</v>
      </c>
      <c r="F30" s="45"/>
      <c r="G30" s="45" t="s">
        <v>36</v>
      </c>
      <c r="H30" s="45" t="s">
        <v>167</v>
      </c>
    </row>
    <row r="31" spans="1:8" s="23" customFormat="1" ht="15" x14ac:dyDescent="0.2">
      <c r="A31" s="45" t="str">
        <f t="shared" si="0"/>
        <v>Brent Kearney</v>
      </c>
      <c r="B31" s="45" t="s">
        <v>70</v>
      </c>
      <c r="C31" s="45" t="s">
        <v>146</v>
      </c>
      <c r="E31" s="31" t="s">
        <v>126</v>
      </c>
      <c r="F31" s="45"/>
      <c r="G31" s="45" t="s">
        <v>165</v>
      </c>
      <c r="H31" s="45" t="s">
        <v>167</v>
      </c>
    </row>
    <row r="32" spans="1:8" s="23" customFormat="1" ht="15" x14ac:dyDescent="0.2">
      <c r="A32" s="45" t="str">
        <f t="shared" si="0"/>
        <v>Stu Kenson</v>
      </c>
      <c r="B32" s="45" t="s">
        <v>15</v>
      </c>
      <c r="C32" s="45" t="s">
        <v>14</v>
      </c>
      <c r="E32" s="31" t="s">
        <v>160</v>
      </c>
      <c r="F32" s="45"/>
      <c r="G32" s="45" t="s">
        <v>134</v>
      </c>
      <c r="H32" s="45" t="s">
        <v>167</v>
      </c>
    </row>
    <row r="33" spans="1:8" s="23" customFormat="1" ht="15" x14ac:dyDescent="0.2">
      <c r="A33" s="45" t="str">
        <f t="shared" si="0"/>
        <v>Randy Kreiser</v>
      </c>
      <c r="B33" s="45" t="s">
        <v>24</v>
      </c>
      <c r="C33" s="45" t="s">
        <v>23</v>
      </c>
      <c r="E33" s="31" t="s">
        <v>126</v>
      </c>
      <c r="F33" s="45"/>
      <c r="G33" s="45" t="s">
        <v>141</v>
      </c>
      <c r="H33" s="45" t="s">
        <v>167</v>
      </c>
    </row>
    <row r="34" spans="1:8" s="23" customFormat="1" ht="15" x14ac:dyDescent="0.2">
      <c r="A34" s="45" t="str">
        <f t="shared" ref="A34:A53" si="1">CONCATENATE(B34," ",C34)</f>
        <v>Inder Lopez</v>
      </c>
      <c r="B34" s="45" t="s">
        <v>29</v>
      </c>
      <c r="C34" s="45" t="s">
        <v>28</v>
      </c>
      <c r="E34" s="31" t="s">
        <v>160</v>
      </c>
      <c r="F34" s="45"/>
      <c r="G34" s="45" t="s">
        <v>135</v>
      </c>
      <c r="H34" s="45" t="s">
        <v>167</v>
      </c>
    </row>
    <row r="35" spans="1:8" s="23" customFormat="1" ht="15" x14ac:dyDescent="0.2">
      <c r="A35" s="45" t="str">
        <f t="shared" si="1"/>
        <v>Ken Louis</v>
      </c>
      <c r="B35" s="45" t="s">
        <v>147</v>
      </c>
      <c r="C35" s="45" t="s">
        <v>148</v>
      </c>
      <c r="E35" s="31" t="s">
        <v>126</v>
      </c>
      <c r="F35" s="45"/>
      <c r="G35" s="45" t="s">
        <v>54</v>
      </c>
      <c r="H35" s="45" t="s">
        <v>167</v>
      </c>
    </row>
    <row r="36" spans="1:8" s="23" customFormat="1" ht="15" x14ac:dyDescent="0.2">
      <c r="A36" s="45" t="str">
        <f t="shared" si="1"/>
        <v>Mike Lupo</v>
      </c>
      <c r="B36" s="45" t="s">
        <v>43</v>
      </c>
      <c r="C36" s="45" t="s">
        <v>78</v>
      </c>
      <c r="E36" s="31" t="s">
        <v>126</v>
      </c>
      <c r="F36" s="45"/>
      <c r="G36" s="45" t="s">
        <v>163</v>
      </c>
      <c r="H36" s="23" t="s">
        <v>167</v>
      </c>
    </row>
    <row r="37" spans="1:8" s="23" customFormat="1" ht="15" x14ac:dyDescent="0.2">
      <c r="A37" s="45" t="str">
        <f t="shared" si="1"/>
        <v>Ed Marr</v>
      </c>
      <c r="B37" s="45" t="s">
        <v>3</v>
      </c>
      <c r="C37" s="45" t="s">
        <v>18</v>
      </c>
      <c r="E37" s="31" t="s">
        <v>160</v>
      </c>
      <c r="F37" s="45"/>
      <c r="G37" s="45" t="s">
        <v>164</v>
      </c>
      <c r="H37" s="23" t="s">
        <v>167</v>
      </c>
    </row>
    <row r="38" spans="1:8" s="23" customFormat="1" ht="15" x14ac:dyDescent="0.2">
      <c r="A38" s="45" t="str">
        <f t="shared" si="1"/>
        <v>Nick Meyer</v>
      </c>
      <c r="B38" s="45" t="s">
        <v>113</v>
      </c>
      <c r="C38" s="45" t="s">
        <v>114</v>
      </c>
      <c r="E38" s="31" t="s">
        <v>126</v>
      </c>
      <c r="F38" s="45"/>
      <c r="G38" s="45" t="s">
        <v>105</v>
      </c>
    </row>
    <row r="39" spans="1:8" s="23" customFormat="1" ht="15" x14ac:dyDescent="0.2">
      <c r="A39" s="45" t="str">
        <f t="shared" si="1"/>
        <v>Frank Morrin</v>
      </c>
      <c r="B39" s="45" t="s">
        <v>19</v>
      </c>
      <c r="C39" s="45" t="s">
        <v>149</v>
      </c>
      <c r="E39" s="31" t="s">
        <v>126</v>
      </c>
      <c r="F39" s="45"/>
      <c r="G39" s="45" t="s">
        <v>69</v>
      </c>
    </row>
    <row r="40" spans="1:8" s="23" customFormat="1" ht="15" x14ac:dyDescent="0.2">
      <c r="A40" s="45" t="str">
        <f t="shared" si="1"/>
        <v>Frank Neugebauer</v>
      </c>
      <c r="B40" s="45" t="s">
        <v>19</v>
      </c>
      <c r="C40" s="45" t="s">
        <v>80</v>
      </c>
      <c r="E40" s="31" t="s">
        <v>126</v>
      </c>
      <c r="F40" s="45"/>
      <c r="G40" s="45" t="s">
        <v>75</v>
      </c>
    </row>
    <row r="41" spans="1:8" s="23" customFormat="1" ht="15" x14ac:dyDescent="0.2">
      <c r="A41" s="45" t="str">
        <f t="shared" si="1"/>
        <v>Ron Overman</v>
      </c>
      <c r="B41" s="45" t="s">
        <v>40</v>
      </c>
      <c r="C41" s="45" t="s">
        <v>41</v>
      </c>
      <c r="E41" s="31" t="s">
        <v>126</v>
      </c>
      <c r="F41" s="45"/>
      <c r="G41" s="45" t="s">
        <v>157</v>
      </c>
    </row>
    <row r="42" spans="1:8" s="23" customFormat="1" ht="15" x14ac:dyDescent="0.2">
      <c r="A42" s="45" t="str">
        <f t="shared" si="1"/>
        <v>Dave Patrick</v>
      </c>
      <c r="B42" s="45" t="s">
        <v>16</v>
      </c>
      <c r="C42" s="45" t="s">
        <v>45</v>
      </c>
      <c r="E42" s="31" t="s">
        <v>126</v>
      </c>
      <c r="F42" s="45"/>
      <c r="G42" s="45" t="s">
        <v>77</v>
      </c>
    </row>
    <row r="43" spans="1:8" s="23" customFormat="1" ht="15" x14ac:dyDescent="0.2">
      <c r="A43" s="45" t="str">
        <f t="shared" si="1"/>
        <v>Jim Putney</v>
      </c>
      <c r="B43" s="45" t="s">
        <v>9</v>
      </c>
      <c r="C43" s="45" t="s">
        <v>38</v>
      </c>
      <c r="E43" s="31" t="s">
        <v>160</v>
      </c>
      <c r="F43" s="45"/>
      <c r="G43" s="45" t="s">
        <v>99</v>
      </c>
    </row>
    <row r="44" spans="1:8" s="23" customFormat="1" ht="15" x14ac:dyDescent="0.2">
      <c r="A44" s="45" t="str">
        <f t="shared" si="1"/>
        <v>Jim Robinson</v>
      </c>
      <c r="B44" s="45" t="s">
        <v>9</v>
      </c>
      <c r="C44" s="45" t="s">
        <v>150</v>
      </c>
      <c r="E44" s="31" t="s">
        <v>126</v>
      </c>
      <c r="F44" s="45"/>
      <c r="G44" s="45" t="s">
        <v>104</v>
      </c>
    </row>
    <row r="45" spans="1:8" s="23" customFormat="1" ht="15" x14ac:dyDescent="0.2">
      <c r="A45" s="45" t="str">
        <f t="shared" si="1"/>
        <v>Dave Seaberg</v>
      </c>
      <c r="B45" s="45" t="s">
        <v>16</v>
      </c>
      <c r="C45" s="45" t="s">
        <v>96</v>
      </c>
      <c r="E45" s="31" t="s">
        <v>160</v>
      </c>
      <c r="F45" s="45"/>
      <c r="G45" s="45" t="s">
        <v>56</v>
      </c>
    </row>
    <row r="46" spans="1:8" s="23" customFormat="1" ht="15.75" x14ac:dyDescent="0.25">
      <c r="A46" s="45" t="str">
        <f t="shared" si="1"/>
        <v>Gina Seaberg</v>
      </c>
      <c r="B46" s="49" t="s">
        <v>154</v>
      </c>
      <c r="C46" s="49" t="s">
        <v>96</v>
      </c>
      <c r="D46" s="5"/>
      <c r="E46" s="30" t="s">
        <v>126</v>
      </c>
      <c r="F46" s="45"/>
      <c r="G46" s="45" t="s">
        <v>162</v>
      </c>
    </row>
    <row r="47" spans="1:8" s="23" customFormat="1" ht="15" x14ac:dyDescent="0.2">
      <c r="A47" s="45" t="str">
        <f t="shared" si="1"/>
        <v>Jim Sleight</v>
      </c>
      <c r="B47" s="45" t="s">
        <v>9</v>
      </c>
      <c r="C47" s="45" t="s">
        <v>151</v>
      </c>
      <c r="E47" s="30" t="s">
        <v>126</v>
      </c>
      <c r="F47" s="45"/>
      <c r="G47" s="45" t="s">
        <v>52</v>
      </c>
    </row>
    <row r="48" spans="1:8" s="23" customFormat="1" ht="15" x14ac:dyDescent="0.2">
      <c r="A48" s="45" t="str">
        <f t="shared" si="1"/>
        <v>Micah Spence</v>
      </c>
      <c r="B48" s="45" t="s">
        <v>152</v>
      </c>
      <c r="C48" s="45" t="s">
        <v>153</v>
      </c>
      <c r="E48" s="30" t="s">
        <v>160</v>
      </c>
      <c r="F48" s="45"/>
      <c r="G48" s="45" t="s">
        <v>112</v>
      </c>
    </row>
    <row r="49" spans="1:13" s="23" customFormat="1" ht="15" x14ac:dyDescent="0.2">
      <c r="A49" s="45" t="str">
        <f t="shared" si="1"/>
        <v>Steve Swaggerty</v>
      </c>
      <c r="B49" s="45" t="s">
        <v>91</v>
      </c>
      <c r="C49" s="45" t="s">
        <v>116</v>
      </c>
      <c r="E49" s="30" t="s">
        <v>160</v>
      </c>
      <c r="F49" s="45"/>
      <c r="G49" s="45" t="s">
        <v>39</v>
      </c>
    </row>
    <row r="50" spans="1:13" s="23" customFormat="1" ht="15" x14ac:dyDescent="0.2">
      <c r="A50" s="45" t="str">
        <f t="shared" si="1"/>
        <v>Sean Swales</v>
      </c>
      <c r="B50" s="45" t="s">
        <v>136</v>
      </c>
      <c r="C50" s="45" t="s">
        <v>137</v>
      </c>
      <c r="E50" s="30" t="s">
        <v>126</v>
      </c>
      <c r="F50" s="45"/>
      <c r="G50" s="45" t="s">
        <v>97</v>
      </c>
    </row>
    <row r="51" spans="1:13" s="23" customFormat="1" ht="15" x14ac:dyDescent="0.2">
      <c r="A51" s="45" t="str">
        <f t="shared" si="1"/>
        <v>Ryan Test</v>
      </c>
      <c r="B51" s="45" t="s">
        <v>82</v>
      </c>
      <c r="C51" s="45" t="s">
        <v>83</v>
      </c>
      <c r="E51" s="30" t="s">
        <v>126</v>
      </c>
      <c r="F51" s="45"/>
      <c r="G51" s="45" t="s">
        <v>166</v>
      </c>
    </row>
    <row r="52" spans="1:13" s="23" customFormat="1" ht="15" x14ac:dyDescent="0.2">
      <c r="A52" s="45" t="str">
        <f t="shared" si="1"/>
        <v>Larry Ward</v>
      </c>
      <c r="B52" s="45" t="s">
        <v>46</v>
      </c>
      <c r="C52" s="45" t="s">
        <v>47</v>
      </c>
      <c r="E52" s="30" t="s">
        <v>126</v>
      </c>
      <c r="F52" s="45"/>
      <c r="G52" s="45" t="s">
        <v>140</v>
      </c>
    </row>
    <row r="53" spans="1:13" s="23" customFormat="1" ht="15" x14ac:dyDescent="0.2">
      <c r="A53" s="45" t="str">
        <f t="shared" si="1"/>
        <v>Skip Whitworth</v>
      </c>
      <c r="B53" s="45" t="s">
        <v>21</v>
      </c>
      <c r="C53" s="45" t="s">
        <v>20</v>
      </c>
      <c r="E53" s="30" t="s">
        <v>126</v>
      </c>
      <c r="F53" s="45"/>
      <c r="G53" s="45" t="s">
        <v>115</v>
      </c>
    </row>
    <row r="54" spans="1:13" s="23" customFormat="1" ht="15" x14ac:dyDescent="0.2">
      <c r="A54" s="10"/>
      <c r="B54" s="49"/>
      <c r="C54" s="49"/>
      <c r="D54" s="24"/>
      <c r="E54" s="31"/>
      <c r="F54" s="45"/>
      <c r="G54" s="45" t="s">
        <v>84</v>
      </c>
    </row>
    <row r="55" spans="1:13" s="23" customFormat="1" ht="15" customHeight="1" x14ac:dyDescent="0.2">
      <c r="A55" s="10"/>
      <c r="B55" s="49"/>
      <c r="C55" s="49"/>
      <c r="D55" s="24"/>
      <c r="E55" s="31"/>
      <c r="F55" s="45"/>
      <c r="G55" s="45" t="s">
        <v>55</v>
      </c>
    </row>
    <row r="56" spans="1:13" ht="15" customHeight="1" x14ac:dyDescent="0.3">
      <c r="A56" s="10"/>
      <c r="B56" s="49"/>
      <c r="C56" s="49"/>
      <c r="D56" s="24"/>
      <c r="E56" s="31"/>
      <c r="F56" s="45"/>
    </row>
    <row r="57" spans="1:13" ht="15" customHeight="1" x14ac:dyDescent="0.3">
      <c r="A57" s="10"/>
      <c r="B57" s="49"/>
      <c r="C57" s="49"/>
      <c r="D57" s="24"/>
      <c r="E57" s="31"/>
      <c r="F57" s="11"/>
    </row>
    <row r="58" spans="1:13" ht="15" customHeight="1" x14ac:dyDescent="0.3">
      <c r="A58" s="10"/>
      <c r="B58" s="49"/>
      <c r="C58" s="49"/>
      <c r="D58" s="24"/>
      <c r="E58" s="31"/>
      <c r="F58"/>
      <c r="G58"/>
      <c r="H58" s="32"/>
      <c r="M58"/>
    </row>
    <row r="59" spans="1:13" ht="15" customHeight="1" x14ac:dyDescent="0.3">
      <c r="A59" s="10"/>
      <c r="B59" s="49"/>
      <c r="C59" s="49"/>
      <c r="D59" s="24"/>
      <c r="E59" s="31"/>
      <c r="F59" s="31"/>
    </row>
    <row r="60" spans="1:13" ht="15" customHeight="1" x14ac:dyDescent="0.3">
      <c r="A60" s="10"/>
      <c r="B60" s="49"/>
      <c r="C60" s="49"/>
      <c r="D60" s="24"/>
      <c r="E60" s="31"/>
      <c r="F60" s="31"/>
    </row>
    <row r="61" spans="1:13" ht="15" customHeight="1" x14ac:dyDescent="0.3">
      <c r="A61" s="10"/>
      <c r="B61" s="49"/>
      <c r="C61" s="49"/>
      <c r="D61" s="24"/>
      <c r="E61" s="31"/>
      <c r="F61"/>
      <c r="G61"/>
      <c r="H61" s="32"/>
      <c r="M61"/>
    </row>
    <row r="62" spans="1:13" ht="15" customHeight="1" x14ac:dyDescent="0.3">
      <c r="A62" s="10"/>
      <c r="B62" s="49"/>
      <c r="C62" s="49"/>
      <c r="D62" s="24"/>
      <c r="E62" s="31"/>
      <c r="F62" s="31"/>
    </row>
    <row r="63" spans="1:13" ht="15" customHeight="1" x14ac:dyDescent="0.3">
      <c r="A63" s="10"/>
      <c r="B63" s="49"/>
      <c r="C63" s="49"/>
      <c r="D63" s="24"/>
      <c r="E63" s="31"/>
      <c r="F63" s="31"/>
    </row>
    <row r="64" spans="1:13" ht="15" customHeight="1" x14ac:dyDescent="0.3">
      <c r="A64" s="10"/>
      <c r="B64" s="49"/>
      <c r="C64" s="49"/>
      <c r="D64" s="24"/>
      <c r="E64" s="31"/>
      <c r="F64" s="31"/>
    </row>
    <row r="65" spans="1:6" ht="15" customHeight="1" x14ac:dyDescent="0.3">
      <c r="A65" s="10"/>
      <c r="B65" s="49"/>
      <c r="C65" s="49"/>
      <c r="D65" s="24"/>
      <c r="E65" s="31"/>
      <c r="F65" s="31"/>
    </row>
    <row r="66" spans="1:6" ht="15" customHeight="1" x14ac:dyDescent="0.3">
      <c r="A66" s="10"/>
      <c r="B66" s="49"/>
      <c r="C66" s="49"/>
      <c r="D66" s="24"/>
      <c r="E66" s="31"/>
      <c r="F66" s="31"/>
    </row>
    <row r="67" spans="1:6" ht="15" customHeight="1" x14ac:dyDescent="0.3">
      <c r="A67" s="10"/>
      <c r="B67" s="49"/>
      <c r="C67" s="49"/>
      <c r="D67" s="24"/>
      <c r="E67" s="31"/>
      <c r="F67" s="31"/>
    </row>
    <row r="68" spans="1:6" ht="15" customHeight="1" x14ac:dyDescent="0.3">
      <c r="A68" s="10"/>
      <c r="B68" s="49"/>
      <c r="C68" s="49"/>
      <c r="D68" s="24"/>
      <c r="E68" s="31"/>
      <c r="F68" s="31"/>
    </row>
    <row r="69" spans="1:6" ht="15" customHeight="1" x14ac:dyDescent="0.3">
      <c r="A69" s="10"/>
      <c r="B69" s="49"/>
      <c r="C69" s="49"/>
      <c r="D69" s="24"/>
      <c r="E69" s="31"/>
      <c r="F69" s="31"/>
    </row>
    <row r="70" spans="1:6" ht="15" customHeight="1" x14ac:dyDescent="0.3">
      <c r="A70" s="10"/>
      <c r="B70" s="49"/>
      <c r="C70" s="49"/>
      <c r="D70" s="24"/>
      <c r="E70" s="31"/>
      <c r="F70" s="31"/>
    </row>
    <row r="71" spans="1:6" ht="15" customHeight="1" x14ac:dyDescent="0.3">
      <c r="A71" s="10"/>
      <c r="B71" s="49"/>
      <c r="C71" s="49"/>
      <c r="D71" s="24"/>
      <c r="E71" s="31"/>
      <c r="F71" s="31"/>
    </row>
    <row r="72" spans="1:6" ht="15" customHeight="1" x14ac:dyDescent="0.3">
      <c r="A72" s="10"/>
      <c r="B72" s="49"/>
      <c r="C72" s="49"/>
      <c r="D72" s="24"/>
      <c r="E72" s="31"/>
      <c r="F72" s="31"/>
    </row>
    <row r="73" spans="1:6" ht="15" customHeight="1" x14ac:dyDescent="0.3">
      <c r="A73" s="10"/>
      <c r="B73" s="49"/>
      <c r="C73" s="49"/>
      <c r="D73" s="24"/>
      <c r="E73" s="31"/>
      <c r="F73" s="31"/>
    </row>
    <row r="74" spans="1:6" ht="15" customHeight="1" x14ac:dyDescent="0.3">
      <c r="A74" s="10"/>
      <c r="B74" s="49"/>
      <c r="C74" s="49"/>
      <c r="D74" s="24"/>
      <c r="E74" s="31"/>
      <c r="F74" s="31"/>
    </row>
    <row r="75" spans="1:6" ht="15" customHeight="1" x14ac:dyDescent="0.3">
      <c r="A75" s="10"/>
      <c r="B75" s="49"/>
      <c r="C75" s="49"/>
      <c r="D75" s="24"/>
      <c r="E75" s="31"/>
      <c r="F75" s="31"/>
    </row>
    <row r="76" spans="1:6" ht="15" customHeight="1" x14ac:dyDescent="0.3">
      <c r="A76" s="10"/>
      <c r="B76" s="49"/>
      <c r="C76" s="49"/>
      <c r="D76" s="24"/>
      <c r="E76" s="31"/>
      <c r="F76" s="31"/>
    </row>
    <row r="77" spans="1:6" ht="15" customHeight="1" x14ac:dyDescent="0.3">
      <c r="A77" s="10"/>
      <c r="B77" s="49"/>
      <c r="C77" s="49"/>
      <c r="D77" s="24"/>
      <c r="E77" s="31"/>
      <c r="F77" s="31"/>
    </row>
    <row r="78" spans="1:6" ht="15" customHeight="1" x14ac:dyDescent="0.3">
      <c r="A78" s="10"/>
      <c r="B78" s="49"/>
      <c r="C78" s="49"/>
      <c r="D78" s="24"/>
      <c r="E78" s="31"/>
      <c r="F78" s="31"/>
    </row>
    <row r="79" spans="1:6" ht="15" customHeight="1" x14ac:dyDescent="0.3">
      <c r="A79" s="10"/>
      <c r="B79" s="49"/>
      <c r="C79" s="49"/>
      <c r="D79" s="24"/>
      <c r="E79" s="31"/>
      <c r="F79" s="31"/>
    </row>
    <row r="80" spans="1:6" ht="15" customHeight="1" x14ac:dyDescent="0.3">
      <c r="A80" s="10"/>
      <c r="B80" s="49"/>
      <c r="C80" s="49"/>
      <c r="D80" s="24"/>
      <c r="E80" s="31"/>
      <c r="F80" s="31"/>
    </row>
    <row r="81" spans="1:6" ht="15" customHeight="1" x14ac:dyDescent="0.3">
      <c r="A81" s="10"/>
      <c r="B81" s="49"/>
      <c r="C81" s="49"/>
      <c r="D81" s="24"/>
      <c r="E81" s="31"/>
      <c r="F81" s="31"/>
    </row>
    <row r="82" spans="1:6" ht="15" customHeight="1" x14ac:dyDescent="0.3">
      <c r="A82" s="10"/>
      <c r="B82" s="49"/>
      <c r="C82" s="49"/>
      <c r="D82" s="24"/>
      <c r="E82" s="31"/>
      <c r="F82" s="31"/>
    </row>
    <row r="83" spans="1:6" ht="15" customHeight="1" x14ac:dyDescent="0.3">
      <c r="F83" s="31"/>
    </row>
    <row r="84" spans="1:6" ht="15" customHeight="1" x14ac:dyDescent="0.3">
      <c r="F84" s="31"/>
    </row>
    <row r="85" spans="1:6" ht="15" customHeight="1" x14ac:dyDescent="0.3">
      <c r="F85" s="31"/>
    </row>
    <row r="86" spans="1:6" ht="15" customHeight="1" x14ac:dyDescent="0.3">
      <c r="F86" s="31"/>
    </row>
    <row r="87" spans="1:6" ht="15" customHeight="1" x14ac:dyDescent="0.3">
      <c r="F87" s="31"/>
    </row>
    <row r="88" spans="1:6" ht="15" customHeight="1" x14ac:dyDescent="0.3">
      <c r="F88" s="31"/>
    </row>
    <row r="89" spans="1:6" ht="15" customHeight="1" x14ac:dyDescent="0.3">
      <c r="F89" s="31"/>
    </row>
    <row r="90" spans="1:6" ht="15" customHeight="1" x14ac:dyDescent="0.3">
      <c r="F90" s="31"/>
    </row>
    <row r="91" spans="1:6" ht="15" customHeight="1" x14ac:dyDescent="0.3"/>
    <row r="92" spans="1:6" ht="15" customHeight="1" x14ac:dyDescent="0.3"/>
    <row r="93" spans="1:6" ht="15" customHeight="1" x14ac:dyDescent="0.3"/>
    <row r="94" spans="1:6" ht="15" customHeight="1" x14ac:dyDescent="0.3"/>
    <row r="95" spans="1:6" ht="15" customHeight="1" x14ac:dyDescent="0.3"/>
    <row r="96" spans="1: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</sheetData>
  <sortState ref="G2:H55">
    <sortCondition ref="H2:H55"/>
  </sortState>
  <phoneticPr fontId="0" type="noConversion"/>
  <pageMargins left="0.75" right="0.75" top="1" bottom="1" header="0.5" footer="0.5"/>
  <pageSetup orientation="portrait" horizontalDpi="4294967295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0"/>
  <sheetViews>
    <sheetView workbookViewId="0">
      <selection activeCell="C1" sqref="C1:C45"/>
    </sheetView>
  </sheetViews>
  <sheetFormatPr defaultRowHeight="12.75" x14ac:dyDescent="0.2"/>
  <cols>
    <col min="3" max="3" width="16.28515625" bestFit="1" customWidth="1"/>
  </cols>
  <sheetData>
    <row r="1" spans="1:16" x14ac:dyDescent="0.2">
      <c r="A1" t="s">
        <v>42</v>
      </c>
      <c r="B1" t="s">
        <v>44</v>
      </c>
      <c r="C1" t="s">
        <v>30</v>
      </c>
      <c r="D1">
        <v>4</v>
      </c>
      <c r="E1">
        <v>5</v>
      </c>
      <c r="F1">
        <v>0</v>
      </c>
      <c r="G1">
        <v>15.99</v>
      </c>
      <c r="H1">
        <v>15.99</v>
      </c>
      <c r="I1">
        <v>4.55</v>
      </c>
      <c r="J1">
        <v>5</v>
      </c>
      <c r="K1">
        <v>16.559999999999999</v>
      </c>
      <c r="L1">
        <v>16.559999999999999</v>
      </c>
      <c r="M1">
        <v>4.55</v>
      </c>
      <c r="N1">
        <v>10</v>
      </c>
      <c r="O1">
        <v>32.549999999999997</v>
      </c>
      <c r="P1">
        <v>32</v>
      </c>
    </row>
    <row r="2" spans="1:16" x14ac:dyDescent="0.2">
      <c r="A2" t="s">
        <v>19</v>
      </c>
      <c r="B2" t="s">
        <v>80</v>
      </c>
      <c r="C2" s="23" t="s">
        <v>81</v>
      </c>
      <c r="D2">
        <v>4.1900000000000004</v>
      </c>
      <c r="E2">
        <v>5</v>
      </c>
      <c r="F2">
        <v>0</v>
      </c>
      <c r="G2">
        <v>13.61</v>
      </c>
      <c r="H2">
        <v>13.61</v>
      </c>
      <c r="I2">
        <v>5</v>
      </c>
      <c r="J2">
        <v>15.26</v>
      </c>
      <c r="K2">
        <v>15.26</v>
      </c>
      <c r="L2">
        <v>4.1900000000000004</v>
      </c>
      <c r="M2">
        <v>10</v>
      </c>
      <c r="N2">
        <v>28.87</v>
      </c>
      <c r="O2">
        <v>31</v>
      </c>
    </row>
    <row r="3" spans="1:16" x14ac:dyDescent="0.2">
      <c r="A3" t="s">
        <v>13</v>
      </c>
      <c r="B3" t="s">
        <v>12</v>
      </c>
      <c r="C3" s="23" t="s">
        <v>33</v>
      </c>
      <c r="D3">
        <v>3.91</v>
      </c>
      <c r="E3">
        <v>3</v>
      </c>
      <c r="F3">
        <v>0</v>
      </c>
      <c r="G3">
        <v>9.07</v>
      </c>
      <c r="H3">
        <v>9.07</v>
      </c>
      <c r="I3">
        <v>5.72</v>
      </c>
      <c r="J3">
        <v>5</v>
      </c>
      <c r="K3">
        <v>16.600000000000001</v>
      </c>
      <c r="L3">
        <v>16.600000000000001</v>
      </c>
      <c r="M3">
        <v>5.72</v>
      </c>
      <c r="N3">
        <v>8</v>
      </c>
      <c r="O3">
        <v>25.67</v>
      </c>
      <c r="P3">
        <v>30</v>
      </c>
    </row>
    <row r="4" spans="1:16" x14ac:dyDescent="0.2">
      <c r="A4" t="s">
        <v>194</v>
      </c>
      <c r="B4" t="s">
        <v>195</v>
      </c>
      <c r="C4" s="23" t="s">
        <v>180</v>
      </c>
      <c r="D4">
        <v>3.17</v>
      </c>
      <c r="E4">
        <v>5</v>
      </c>
      <c r="F4">
        <v>0</v>
      </c>
      <c r="G4">
        <v>12.38</v>
      </c>
      <c r="H4">
        <v>12.38</v>
      </c>
      <c r="I4">
        <v>2.83</v>
      </c>
      <c r="J4">
        <v>5</v>
      </c>
      <c r="K4">
        <v>12.6</v>
      </c>
      <c r="L4">
        <v>12.6</v>
      </c>
      <c r="M4">
        <v>3.17</v>
      </c>
      <c r="N4">
        <v>10</v>
      </c>
      <c r="O4">
        <v>24.98</v>
      </c>
      <c r="P4">
        <v>29</v>
      </c>
    </row>
    <row r="5" spans="1:16" x14ac:dyDescent="0.2">
      <c r="A5" t="s">
        <v>113</v>
      </c>
      <c r="B5" t="s">
        <v>114</v>
      </c>
      <c r="C5" s="23" t="s">
        <v>100</v>
      </c>
      <c r="D5">
        <v>4.04</v>
      </c>
      <c r="E5">
        <v>5</v>
      </c>
      <c r="F5">
        <v>0</v>
      </c>
      <c r="G5">
        <v>14.27</v>
      </c>
      <c r="H5">
        <v>14.27</v>
      </c>
      <c r="I5">
        <v>2.44</v>
      </c>
      <c r="J5">
        <v>5</v>
      </c>
      <c r="K5">
        <v>10.15</v>
      </c>
      <c r="L5">
        <v>10.15</v>
      </c>
      <c r="M5">
        <v>4.04</v>
      </c>
      <c r="N5">
        <v>10</v>
      </c>
      <c r="O5">
        <v>24.42</v>
      </c>
      <c r="P5">
        <v>28</v>
      </c>
    </row>
    <row r="6" spans="1:16" x14ac:dyDescent="0.2">
      <c r="A6" t="s">
        <v>46</v>
      </c>
      <c r="B6" t="s">
        <v>47</v>
      </c>
      <c r="C6" s="23" t="s">
        <v>54</v>
      </c>
      <c r="D6">
        <v>5.41</v>
      </c>
      <c r="E6">
        <v>5</v>
      </c>
      <c r="F6">
        <v>0</v>
      </c>
      <c r="G6">
        <v>16.97</v>
      </c>
      <c r="H6">
        <v>16.97</v>
      </c>
      <c r="I6">
        <v>3</v>
      </c>
      <c r="J6">
        <v>3</v>
      </c>
      <c r="K6">
        <v>6.29</v>
      </c>
      <c r="L6">
        <v>6.29</v>
      </c>
      <c r="M6">
        <v>5.41</v>
      </c>
      <c r="N6">
        <v>8</v>
      </c>
      <c r="O6">
        <v>23.26</v>
      </c>
      <c r="P6">
        <v>27</v>
      </c>
    </row>
    <row r="7" spans="1:16" x14ac:dyDescent="0.2">
      <c r="A7" t="s">
        <v>70</v>
      </c>
      <c r="B7" t="s">
        <v>146</v>
      </c>
      <c r="C7" s="23" t="s">
        <v>138</v>
      </c>
      <c r="D7">
        <v>4.01</v>
      </c>
      <c r="E7">
        <v>5</v>
      </c>
      <c r="F7">
        <v>0</v>
      </c>
      <c r="G7">
        <v>11.78</v>
      </c>
      <c r="H7">
        <v>11.78</v>
      </c>
      <c r="I7">
        <v>5</v>
      </c>
      <c r="J7">
        <v>10.68</v>
      </c>
      <c r="K7">
        <v>10.68</v>
      </c>
      <c r="L7">
        <v>4.01</v>
      </c>
      <c r="M7">
        <v>10</v>
      </c>
      <c r="N7">
        <v>22.46</v>
      </c>
      <c r="O7">
        <v>26</v>
      </c>
    </row>
    <row r="8" spans="1:16" x14ac:dyDescent="0.2">
      <c r="A8" t="s">
        <v>183</v>
      </c>
      <c r="B8" s="10" t="s">
        <v>184</v>
      </c>
      <c r="C8" s="23" t="s">
        <v>182</v>
      </c>
      <c r="D8">
        <v>3.3</v>
      </c>
      <c r="E8">
        <v>4</v>
      </c>
      <c r="F8">
        <v>0</v>
      </c>
      <c r="G8">
        <v>7.52</v>
      </c>
      <c r="H8">
        <v>7.52</v>
      </c>
      <c r="I8">
        <v>7.09</v>
      </c>
      <c r="J8">
        <v>4</v>
      </c>
      <c r="K8">
        <v>13.59</v>
      </c>
      <c r="L8">
        <v>13.59</v>
      </c>
      <c r="M8">
        <v>7.09</v>
      </c>
      <c r="N8">
        <v>8</v>
      </c>
      <c r="O8">
        <v>21.11</v>
      </c>
      <c r="P8">
        <v>25</v>
      </c>
    </row>
    <row r="9" spans="1:16" x14ac:dyDescent="0.2">
      <c r="A9" t="s">
        <v>21</v>
      </c>
      <c r="B9" t="s">
        <v>20</v>
      </c>
      <c r="C9" s="23" t="s">
        <v>55</v>
      </c>
      <c r="D9">
        <v>4.5199999999999996</v>
      </c>
      <c r="E9">
        <v>4</v>
      </c>
      <c r="F9">
        <v>0</v>
      </c>
      <c r="G9">
        <v>9.91</v>
      </c>
      <c r="H9">
        <v>9.91</v>
      </c>
      <c r="I9">
        <v>3.93</v>
      </c>
      <c r="J9">
        <v>3</v>
      </c>
      <c r="K9">
        <v>10.29</v>
      </c>
      <c r="L9">
        <v>10.29</v>
      </c>
      <c r="M9">
        <v>4.5199999999999996</v>
      </c>
      <c r="N9">
        <v>7</v>
      </c>
      <c r="O9">
        <v>20.2</v>
      </c>
      <c r="P9">
        <v>24</v>
      </c>
    </row>
    <row r="10" spans="1:16" x14ac:dyDescent="0.2">
      <c r="A10" t="s">
        <v>120</v>
      </c>
      <c r="B10" t="s">
        <v>121</v>
      </c>
      <c r="C10" s="23" t="s">
        <v>122</v>
      </c>
      <c r="D10">
        <v>4.1100000000000003</v>
      </c>
      <c r="E10">
        <v>4</v>
      </c>
      <c r="F10">
        <v>0</v>
      </c>
      <c r="G10">
        <v>9.39</v>
      </c>
      <c r="H10">
        <v>9.39</v>
      </c>
      <c r="I10">
        <v>2.37</v>
      </c>
      <c r="J10">
        <v>5</v>
      </c>
      <c r="K10">
        <v>10.73</v>
      </c>
      <c r="L10">
        <v>10.73</v>
      </c>
      <c r="M10">
        <v>4.1100000000000003</v>
      </c>
      <c r="N10">
        <v>9</v>
      </c>
      <c r="O10">
        <v>20.12</v>
      </c>
      <c r="P10">
        <v>23</v>
      </c>
    </row>
    <row r="11" spans="1:16" x14ac:dyDescent="0.2">
      <c r="A11" t="s">
        <v>19</v>
      </c>
      <c r="B11" t="s">
        <v>149</v>
      </c>
      <c r="C11" s="23" t="s">
        <v>139</v>
      </c>
      <c r="D11">
        <v>5.0199999999999996</v>
      </c>
      <c r="E11">
        <v>3</v>
      </c>
      <c r="F11">
        <v>0</v>
      </c>
      <c r="G11">
        <v>8.7799999999999994</v>
      </c>
      <c r="H11">
        <v>8.7799999999999994</v>
      </c>
      <c r="I11">
        <v>6.62</v>
      </c>
      <c r="J11">
        <v>3</v>
      </c>
      <c r="K11">
        <v>10.52</v>
      </c>
      <c r="L11">
        <v>10.52</v>
      </c>
      <c r="M11">
        <v>6.62</v>
      </c>
      <c r="N11">
        <v>6</v>
      </c>
      <c r="O11">
        <v>19.3</v>
      </c>
      <c r="P11">
        <v>22</v>
      </c>
    </row>
    <row r="12" spans="1:16" x14ac:dyDescent="0.2">
      <c r="A12" t="s">
        <v>3</v>
      </c>
      <c r="B12" t="s">
        <v>2</v>
      </c>
      <c r="C12" s="23" t="s">
        <v>31</v>
      </c>
      <c r="D12">
        <v>4.01</v>
      </c>
      <c r="E12">
        <v>4</v>
      </c>
      <c r="F12">
        <v>0</v>
      </c>
      <c r="G12">
        <v>12.85</v>
      </c>
      <c r="H12">
        <v>12.85</v>
      </c>
      <c r="I12">
        <v>2</v>
      </c>
      <c r="J12">
        <v>0.25</v>
      </c>
      <c r="K12">
        <v>5.44</v>
      </c>
      <c r="L12">
        <v>5.19</v>
      </c>
      <c r="M12">
        <v>4.01</v>
      </c>
      <c r="N12">
        <v>6</v>
      </c>
      <c r="O12">
        <v>18.04</v>
      </c>
      <c r="P12">
        <v>21</v>
      </c>
    </row>
    <row r="13" spans="1:16" x14ac:dyDescent="0.2">
      <c r="A13" t="s">
        <v>147</v>
      </c>
      <c r="B13" t="s">
        <v>148</v>
      </c>
      <c r="C13" s="23" t="s">
        <v>112</v>
      </c>
      <c r="D13">
        <v>3.93</v>
      </c>
      <c r="E13">
        <v>5</v>
      </c>
      <c r="F13">
        <v>0</v>
      </c>
      <c r="G13">
        <v>14.01</v>
      </c>
      <c r="H13">
        <v>14.01</v>
      </c>
      <c r="I13">
        <v>3.54</v>
      </c>
      <c r="J13">
        <v>1</v>
      </c>
      <c r="K13">
        <v>3.54</v>
      </c>
      <c r="L13">
        <v>3.54</v>
      </c>
      <c r="M13">
        <v>3.93</v>
      </c>
      <c r="N13">
        <v>6</v>
      </c>
      <c r="O13">
        <v>17.55</v>
      </c>
      <c r="P13">
        <v>20</v>
      </c>
    </row>
    <row r="14" spans="1:16" x14ac:dyDescent="0.2">
      <c r="A14" t="s">
        <v>187</v>
      </c>
      <c r="B14" t="s">
        <v>188</v>
      </c>
      <c r="C14" s="23" t="s">
        <v>168</v>
      </c>
      <c r="D14">
        <v>2.71</v>
      </c>
      <c r="E14">
        <v>5</v>
      </c>
      <c r="F14">
        <v>0</v>
      </c>
      <c r="G14">
        <v>11.22</v>
      </c>
      <c r="H14">
        <v>11.22</v>
      </c>
      <c r="I14">
        <v>2.73</v>
      </c>
      <c r="J14">
        <v>2</v>
      </c>
      <c r="K14">
        <v>5.0199999999999996</v>
      </c>
      <c r="L14">
        <v>5.0199999999999996</v>
      </c>
      <c r="M14">
        <v>2.73</v>
      </c>
      <c r="N14">
        <v>7</v>
      </c>
      <c r="O14">
        <v>16.239999999999998</v>
      </c>
      <c r="P14">
        <v>19</v>
      </c>
    </row>
    <row r="15" spans="1:16" x14ac:dyDescent="0.2">
      <c r="A15" t="s">
        <v>57</v>
      </c>
      <c r="B15" t="s">
        <v>12</v>
      </c>
      <c r="C15" s="23" t="s">
        <v>56</v>
      </c>
      <c r="D15">
        <v>3.07</v>
      </c>
      <c r="E15">
        <v>2</v>
      </c>
      <c r="F15">
        <v>0.25</v>
      </c>
      <c r="G15">
        <v>5.07</v>
      </c>
      <c r="H15">
        <v>4.82</v>
      </c>
      <c r="I15">
        <v>3.95</v>
      </c>
      <c r="J15">
        <v>4</v>
      </c>
      <c r="K15">
        <v>11</v>
      </c>
      <c r="L15">
        <v>11</v>
      </c>
      <c r="M15">
        <v>3.95</v>
      </c>
      <c r="N15">
        <v>6</v>
      </c>
      <c r="O15">
        <v>15.82</v>
      </c>
      <c r="P15">
        <v>18</v>
      </c>
    </row>
    <row r="16" spans="1:16" x14ac:dyDescent="0.2">
      <c r="A16" t="s">
        <v>70</v>
      </c>
      <c r="B16" t="s">
        <v>71</v>
      </c>
      <c r="C16" s="23" t="s">
        <v>72</v>
      </c>
      <c r="D16">
        <v>4.5999999999999996</v>
      </c>
      <c r="E16">
        <v>5</v>
      </c>
      <c r="F16">
        <v>0</v>
      </c>
      <c r="G16">
        <v>12.64</v>
      </c>
      <c r="H16">
        <v>12.64</v>
      </c>
      <c r="I16">
        <v>2</v>
      </c>
      <c r="J16">
        <v>2.59</v>
      </c>
      <c r="K16">
        <v>2.59</v>
      </c>
      <c r="L16">
        <v>4.5999999999999996</v>
      </c>
      <c r="M16">
        <v>7</v>
      </c>
      <c r="N16">
        <v>15.23</v>
      </c>
      <c r="O16">
        <v>17</v>
      </c>
    </row>
    <row r="17" spans="1:16" x14ac:dyDescent="0.2">
      <c r="A17" t="s">
        <v>6</v>
      </c>
      <c r="B17" t="s">
        <v>5</v>
      </c>
      <c r="C17" s="23" t="s">
        <v>32</v>
      </c>
      <c r="D17">
        <v>3.26</v>
      </c>
      <c r="E17">
        <v>2</v>
      </c>
      <c r="F17">
        <v>0</v>
      </c>
      <c r="G17">
        <v>4.5599999999999996</v>
      </c>
      <c r="H17">
        <v>4.5599999999999996</v>
      </c>
      <c r="I17">
        <v>5.39</v>
      </c>
      <c r="J17">
        <v>3</v>
      </c>
      <c r="K17">
        <v>9.7200000000000006</v>
      </c>
      <c r="L17">
        <v>9.7200000000000006</v>
      </c>
      <c r="M17">
        <v>5.39</v>
      </c>
      <c r="N17">
        <v>5</v>
      </c>
      <c r="O17">
        <v>14.28</v>
      </c>
      <c r="P17">
        <v>16</v>
      </c>
    </row>
    <row r="18" spans="1:16" x14ac:dyDescent="0.2">
      <c r="A18" t="s">
        <v>9</v>
      </c>
      <c r="B18" t="s">
        <v>151</v>
      </c>
      <c r="C18" s="23" t="s">
        <v>141</v>
      </c>
      <c r="D18">
        <v>3.77</v>
      </c>
      <c r="E18">
        <v>3</v>
      </c>
      <c r="F18">
        <v>0</v>
      </c>
      <c r="G18">
        <v>8.02</v>
      </c>
      <c r="H18">
        <v>8.02</v>
      </c>
      <c r="I18">
        <v>2</v>
      </c>
      <c r="J18">
        <v>5.28</v>
      </c>
      <c r="K18">
        <v>5.28</v>
      </c>
      <c r="L18">
        <v>3.77</v>
      </c>
      <c r="M18">
        <v>5</v>
      </c>
      <c r="N18">
        <v>13.3</v>
      </c>
      <c r="O18">
        <v>15</v>
      </c>
    </row>
    <row r="19" spans="1:16" x14ac:dyDescent="0.2">
      <c r="A19" t="s">
        <v>191</v>
      </c>
      <c r="B19" t="s">
        <v>192</v>
      </c>
      <c r="C19" s="23" t="s">
        <v>164</v>
      </c>
      <c r="D19">
        <v>5.12</v>
      </c>
      <c r="E19">
        <v>1</v>
      </c>
      <c r="F19">
        <v>0</v>
      </c>
      <c r="G19">
        <v>5.12</v>
      </c>
      <c r="H19">
        <v>5.12</v>
      </c>
      <c r="I19">
        <v>5.23</v>
      </c>
      <c r="J19">
        <v>2</v>
      </c>
      <c r="K19">
        <v>7.81</v>
      </c>
      <c r="L19">
        <v>7.81</v>
      </c>
      <c r="M19">
        <v>5.23</v>
      </c>
      <c r="N19">
        <v>3</v>
      </c>
      <c r="O19">
        <v>12.93</v>
      </c>
      <c r="P19">
        <v>14</v>
      </c>
    </row>
    <row r="20" spans="1:16" x14ac:dyDescent="0.2">
      <c r="A20" t="s">
        <v>190</v>
      </c>
      <c r="B20" t="s">
        <v>96</v>
      </c>
      <c r="C20" s="23" t="s">
        <v>98</v>
      </c>
      <c r="D20">
        <v>3.07</v>
      </c>
      <c r="E20">
        <v>5</v>
      </c>
      <c r="F20">
        <v>0</v>
      </c>
      <c r="G20">
        <v>10.63</v>
      </c>
      <c r="H20">
        <v>10.63</v>
      </c>
      <c r="I20">
        <v>1.97</v>
      </c>
      <c r="J20">
        <v>1</v>
      </c>
      <c r="K20">
        <v>1.97</v>
      </c>
      <c r="L20">
        <v>1.97</v>
      </c>
      <c r="M20">
        <v>3.07</v>
      </c>
      <c r="N20">
        <v>6</v>
      </c>
      <c r="O20">
        <v>12.6</v>
      </c>
      <c r="P20">
        <v>13</v>
      </c>
    </row>
    <row r="21" spans="1:16" x14ac:dyDescent="0.2">
      <c r="A21" t="s">
        <v>43</v>
      </c>
      <c r="B21" t="s">
        <v>78</v>
      </c>
      <c r="C21" s="23" t="s">
        <v>79</v>
      </c>
      <c r="D21">
        <v>2.14</v>
      </c>
      <c r="E21">
        <v>2</v>
      </c>
      <c r="F21">
        <v>0</v>
      </c>
      <c r="G21">
        <v>3.46</v>
      </c>
      <c r="H21">
        <v>3.46</v>
      </c>
      <c r="I21">
        <v>3.74</v>
      </c>
      <c r="J21">
        <v>3</v>
      </c>
      <c r="K21">
        <v>8.75</v>
      </c>
      <c r="L21">
        <v>8.75</v>
      </c>
      <c r="M21">
        <v>3.74</v>
      </c>
      <c r="N21">
        <v>5</v>
      </c>
      <c r="O21">
        <v>12.21</v>
      </c>
      <c r="P21">
        <v>12</v>
      </c>
    </row>
    <row r="22" spans="1:16" x14ac:dyDescent="0.2">
      <c r="A22" t="s">
        <v>29</v>
      </c>
      <c r="B22" t="s">
        <v>28</v>
      </c>
      <c r="C22" s="23" t="s">
        <v>35</v>
      </c>
      <c r="D22">
        <v>3.86</v>
      </c>
      <c r="E22">
        <v>3</v>
      </c>
      <c r="F22">
        <v>0</v>
      </c>
      <c r="G22">
        <v>8.15</v>
      </c>
      <c r="H22">
        <v>8.15</v>
      </c>
      <c r="I22">
        <v>2</v>
      </c>
      <c r="J22">
        <v>2.93</v>
      </c>
      <c r="K22">
        <v>2.93</v>
      </c>
      <c r="L22">
        <v>3.86</v>
      </c>
      <c r="M22">
        <v>5</v>
      </c>
      <c r="N22">
        <v>11.08</v>
      </c>
      <c r="O22">
        <v>11</v>
      </c>
    </row>
    <row r="23" spans="1:16" x14ac:dyDescent="0.2">
      <c r="A23" t="s">
        <v>6</v>
      </c>
      <c r="B23" t="s">
        <v>124</v>
      </c>
      <c r="C23" s="23" t="s">
        <v>102</v>
      </c>
      <c r="D23">
        <v>2.5499999999999998</v>
      </c>
      <c r="E23">
        <v>1</v>
      </c>
      <c r="F23">
        <v>0</v>
      </c>
      <c r="G23">
        <v>2.5499999999999998</v>
      </c>
      <c r="H23">
        <v>2.5499999999999998</v>
      </c>
      <c r="I23">
        <v>3.84</v>
      </c>
      <c r="J23">
        <v>3</v>
      </c>
      <c r="K23">
        <v>8.24</v>
      </c>
      <c r="L23">
        <v>8.24</v>
      </c>
      <c r="M23">
        <v>3.84</v>
      </c>
      <c r="N23">
        <v>4</v>
      </c>
      <c r="O23">
        <v>10.79</v>
      </c>
      <c r="P23">
        <v>10</v>
      </c>
    </row>
    <row r="24" spans="1:16" x14ac:dyDescent="0.2">
      <c r="A24" t="s">
        <v>16</v>
      </c>
      <c r="B24" t="s">
        <v>189</v>
      </c>
      <c r="C24" s="23" t="s">
        <v>179</v>
      </c>
      <c r="D24">
        <v>2.78</v>
      </c>
      <c r="E24">
        <v>2</v>
      </c>
      <c r="F24">
        <v>0</v>
      </c>
      <c r="G24">
        <v>4.74</v>
      </c>
      <c r="H24">
        <v>4.74</v>
      </c>
      <c r="I24">
        <v>3.12</v>
      </c>
      <c r="J24">
        <v>2</v>
      </c>
      <c r="K24">
        <v>5.84</v>
      </c>
      <c r="L24">
        <v>5.84</v>
      </c>
      <c r="M24">
        <v>3.12</v>
      </c>
      <c r="N24">
        <v>4</v>
      </c>
      <c r="O24">
        <v>10.58</v>
      </c>
      <c r="P24">
        <v>9</v>
      </c>
    </row>
    <row r="25" spans="1:16" x14ac:dyDescent="0.2">
      <c r="A25" t="s">
        <v>17</v>
      </c>
      <c r="B25" t="s">
        <v>76</v>
      </c>
      <c r="C25" s="23" t="s">
        <v>77</v>
      </c>
      <c r="D25">
        <v>2.79</v>
      </c>
      <c r="E25">
        <v>1</v>
      </c>
      <c r="F25">
        <v>0</v>
      </c>
      <c r="G25">
        <v>2.79</v>
      </c>
      <c r="H25">
        <v>2.79</v>
      </c>
      <c r="I25">
        <v>3.43</v>
      </c>
      <c r="J25">
        <v>3</v>
      </c>
      <c r="K25">
        <v>6.23</v>
      </c>
      <c r="L25">
        <v>6.23</v>
      </c>
      <c r="M25">
        <v>3.43</v>
      </c>
      <c r="N25">
        <v>4</v>
      </c>
      <c r="O25">
        <v>9.02</v>
      </c>
      <c r="P25">
        <v>8</v>
      </c>
    </row>
    <row r="26" spans="1:16" x14ac:dyDescent="0.2">
      <c r="A26" t="s">
        <v>196</v>
      </c>
      <c r="B26" t="s">
        <v>197</v>
      </c>
      <c r="C26" s="23" t="s">
        <v>170</v>
      </c>
      <c r="D26">
        <v>2.8</v>
      </c>
      <c r="E26">
        <v>1</v>
      </c>
      <c r="F26">
        <v>0</v>
      </c>
      <c r="G26">
        <v>2.8</v>
      </c>
      <c r="H26">
        <v>2.8</v>
      </c>
      <c r="I26">
        <v>2.64</v>
      </c>
      <c r="J26">
        <v>3</v>
      </c>
      <c r="K26">
        <v>6.17</v>
      </c>
      <c r="L26">
        <v>6.17</v>
      </c>
      <c r="M26">
        <v>2.8</v>
      </c>
      <c r="N26">
        <v>4</v>
      </c>
      <c r="O26">
        <v>8.9700000000000006</v>
      </c>
      <c r="P26">
        <v>7</v>
      </c>
    </row>
    <row r="27" spans="1:16" x14ac:dyDescent="0.2">
      <c r="A27" t="s">
        <v>4</v>
      </c>
      <c r="B27" t="s">
        <v>109</v>
      </c>
      <c r="C27" s="23" t="s">
        <v>99</v>
      </c>
      <c r="D27">
        <v>3.03</v>
      </c>
      <c r="E27">
        <v>3</v>
      </c>
      <c r="F27">
        <v>0</v>
      </c>
      <c r="G27">
        <v>6.34</v>
      </c>
      <c r="H27">
        <v>6.34</v>
      </c>
      <c r="I27">
        <v>0</v>
      </c>
      <c r="J27">
        <v>0</v>
      </c>
      <c r="K27">
        <v>0</v>
      </c>
      <c r="L27">
        <v>0</v>
      </c>
      <c r="M27">
        <v>3.03</v>
      </c>
      <c r="N27">
        <v>3</v>
      </c>
      <c r="O27">
        <v>6.34</v>
      </c>
      <c r="P27" s="10" t="s">
        <v>158</v>
      </c>
    </row>
    <row r="28" spans="1:16" x14ac:dyDescent="0.2">
      <c r="A28" t="s">
        <v>185</v>
      </c>
      <c r="B28" t="s">
        <v>45</v>
      </c>
      <c r="C28" s="23" t="s">
        <v>159</v>
      </c>
      <c r="D28">
        <v>4.7</v>
      </c>
      <c r="E28">
        <v>1</v>
      </c>
      <c r="F28">
        <v>0</v>
      </c>
      <c r="G28">
        <v>4.7</v>
      </c>
      <c r="H28">
        <v>4.7</v>
      </c>
      <c r="I28">
        <v>0</v>
      </c>
      <c r="J28">
        <v>0</v>
      </c>
      <c r="K28">
        <v>0</v>
      </c>
      <c r="L28">
        <v>0</v>
      </c>
      <c r="M28">
        <v>4.7</v>
      </c>
      <c r="N28">
        <v>1</v>
      </c>
      <c r="O28">
        <v>4.7</v>
      </c>
      <c r="P28">
        <v>6</v>
      </c>
    </row>
    <row r="29" spans="1:16" x14ac:dyDescent="0.2">
      <c r="A29" t="s">
        <v>15</v>
      </c>
      <c r="B29" t="s">
        <v>14</v>
      </c>
      <c r="C29" s="23" t="s">
        <v>34</v>
      </c>
      <c r="D29">
        <v>0</v>
      </c>
      <c r="E29">
        <v>0</v>
      </c>
      <c r="F29">
        <v>0</v>
      </c>
      <c r="G29">
        <v>0</v>
      </c>
      <c r="H29">
        <v>0</v>
      </c>
      <c r="I29">
        <v>3.24</v>
      </c>
      <c r="J29">
        <v>1</v>
      </c>
      <c r="K29">
        <v>3.24</v>
      </c>
      <c r="L29">
        <v>3.24</v>
      </c>
      <c r="M29">
        <v>3.24</v>
      </c>
      <c r="N29">
        <v>1</v>
      </c>
      <c r="O29">
        <v>3.24</v>
      </c>
      <c r="P29">
        <v>5</v>
      </c>
    </row>
    <row r="30" spans="1:16" x14ac:dyDescent="0.2">
      <c r="A30" t="s">
        <v>16</v>
      </c>
      <c r="B30" t="s">
        <v>96</v>
      </c>
      <c r="C30" s="23" t="s">
        <v>97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 s="10" t="s">
        <v>158</v>
      </c>
    </row>
    <row r="31" spans="1:16" x14ac:dyDescent="0.2">
      <c r="A31" t="s">
        <v>91</v>
      </c>
      <c r="B31" t="s">
        <v>116</v>
      </c>
      <c r="C31" s="23" t="s">
        <v>115</v>
      </c>
    </row>
    <row r="32" spans="1:16" x14ac:dyDescent="0.2">
      <c r="A32" t="s">
        <v>113</v>
      </c>
      <c r="B32" t="s">
        <v>114</v>
      </c>
      <c r="C32" s="23" t="s">
        <v>36</v>
      </c>
    </row>
    <row r="33" spans="1:3" x14ac:dyDescent="0.2">
      <c r="A33" t="s">
        <v>29</v>
      </c>
      <c r="B33" t="s">
        <v>28</v>
      </c>
      <c r="C33" s="23" t="s">
        <v>49</v>
      </c>
    </row>
    <row r="34" spans="1:3" x14ac:dyDescent="0.2">
      <c r="A34" t="s">
        <v>17</v>
      </c>
      <c r="B34" t="s">
        <v>76</v>
      </c>
      <c r="C34" s="23" t="s">
        <v>173</v>
      </c>
    </row>
    <row r="35" spans="1:3" x14ac:dyDescent="0.2">
      <c r="A35" t="s">
        <v>70</v>
      </c>
      <c r="B35" t="s">
        <v>71</v>
      </c>
      <c r="C35" s="23" t="s">
        <v>169</v>
      </c>
    </row>
    <row r="36" spans="1:3" x14ac:dyDescent="0.2">
      <c r="A36" t="s">
        <v>19</v>
      </c>
      <c r="B36" t="s">
        <v>149</v>
      </c>
      <c r="C36" s="23" t="s">
        <v>67</v>
      </c>
    </row>
    <row r="37" spans="1:3" x14ac:dyDescent="0.2">
      <c r="A37" t="s">
        <v>70</v>
      </c>
      <c r="B37" t="s">
        <v>146</v>
      </c>
      <c r="C37" s="23" t="s">
        <v>134</v>
      </c>
    </row>
    <row r="38" spans="1:3" x14ac:dyDescent="0.2">
      <c r="A38" t="s">
        <v>13</v>
      </c>
      <c r="B38" t="s">
        <v>12</v>
      </c>
      <c r="C38" s="23" t="s">
        <v>53</v>
      </c>
    </row>
    <row r="39" spans="1:3" x14ac:dyDescent="0.2">
      <c r="A39" t="s">
        <v>6</v>
      </c>
      <c r="B39" t="s">
        <v>5</v>
      </c>
      <c r="C39" s="23" t="s">
        <v>51</v>
      </c>
    </row>
    <row r="40" spans="1:3" x14ac:dyDescent="0.2">
      <c r="A40" t="s">
        <v>9</v>
      </c>
      <c r="B40" t="s">
        <v>151</v>
      </c>
      <c r="C40" s="23" t="s">
        <v>181</v>
      </c>
    </row>
    <row r="41" spans="1:3" x14ac:dyDescent="0.2">
      <c r="A41" t="s">
        <v>40</v>
      </c>
      <c r="B41" t="s">
        <v>41</v>
      </c>
      <c r="C41" s="23" t="s">
        <v>176</v>
      </c>
    </row>
    <row r="42" spans="1:3" x14ac:dyDescent="0.2">
      <c r="A42" t="s">
        <v>147</v>
      </c>
      <c r="B42" t="s">
        <v>148</v>
      </c>
      <c r="C42" s="23" t="s">
        <v>171</v>
      </c>
    </row>
    <row r="43" spans="1:3" x14ac:dyDescent="0.2">
      <c r="A43" t="s">
        <v>6</v>
      </c>
      <c r="B43" t="s">
        <v>124</v>
      </c>
      <c r="C43" s="23" t="s">
        <v>165</v>
      </c>
    </row>
    <row r="44" spans="1:3" x14ac:dyDescent="0.2">
      <c r="A44" t="s">
        <v>11</v>
      </c>
      <c r="B44" t="s">
        <v>10</v>
      </c>
      <c r="C44" s="23" t="s">
        <v>157</v>
      </c>
    </row>
    <row r="45" spans="1:3" x14ac:dyDescent="0.2">
      <c r="A45" t="s">
        <v>57</v>
      </c>
      <c r="B45" t="s">
        <v>12</v>
      </c>
      <c r="C45" s="23" t="s">
        <v>48</v>
      </c>
    </row>
    <row r="46" spans="1:3" x14ac:dyDescent="0.2">
      <c r="A46" t="s">
        <v>183</v>
      </c>
      <c r="B46" t="s">
        <v>184</v>
      </c>
    </row>
    <row r="47" spans="1:3" x14ac:dyDescent="0.2">
      <c r="A47" t="s">
        <v>185</v>
      </c>
      <c r="B47" t="s">
        <v>45</v>
      </c>
    </row>
    <row r="48" spans="1:3" x14ac:dyDescent="0.2">
      <c r="A48" t="s">
        <v>3</v>
      </c>
      <c r="B48" t="s">
        <v>2</v>
      </c>
    </row>
    <row r="49" spans="1:2" x14ac:dyDescent="0.2">
      <c r="A49" t="s">
        <v>131</v>
      </c>
      <c r="B49" t="s">
        <v>186</v>
      </c>
    </row>
    <row r="50" spans="1:2" x14ac:dyDescent="0.2">
      <c r="A50" t="s">
        <v>4</v>
      </c>
      <c r="B50" t="s">
        <v>109</v>
      </c>
    </row>
    <row r="51" spans="1:2" x14ac:dyDescent="0.2">
      <c r="A51" t="s">
        <v>187</v>
      </c>
      <c r="B51" t="s">
        <v>188</v>
      </c>
    </row>
    <row r="52" spans="1:2" x14ac:dyDescent="0.2">
      <c r="A52" t="s">
        <v>16</v>
      </c>
      <c r="B52" t="s">
        <v>189</v>
      </c>
    </row>
    <row r="53" spans="1:2" x14ac:dyDescent="0.2">
      <c r="A53" t="s">
        <v>19</v>
      </c>
      <c r="B53" t="s">
        <v>80</v>
      </c>
    </row>
    <row r="54" spans="1:2" x14ac:dyDescent="0.2">
      <c r="A54" t="s">
        <v>46</v>
      </c>
      <c r="B54" t="s">
        <v>47</v>
      </c>
    </row>
    <row r="55" spans="1:2" x14ac:dyDescent="0.2">
      <c r="A55" t="s">
        <v>190</v>
      </c>
      <c r="B55" t="s">
        <v>96</v>
      </c>
    </row>
    <row r="56" spans="1:2" x14ac:dyDescent="0.2">
      <c r="A56" t="s">
        <v>191</v>
      </c>
      <c r="B56" t="s">
        <v>192</v>
      </c>
    </row>
    <row r="57" spans="1:2" x14ac:dyDescent="0.2">
      <c r="A57" t="s">
        <v>43</v>
      </c>
      <c r="B57" t="s">
        <v>78</v>
      </c>
    </row>
    <row r="58" spans="1:2" x14ac:dyDescent="0.2">
      <c r="A58" t="s">
        <v>16</v>
      </c>
      <c r="B58" t="s">
        <v>193</v>
      </c>
    </row>
    <row r="59" spans="1:2" x14ac:dyDescent="0.2">
      <c r="A59" t="s">
        <v>21</v>
      </c>
      <c r="B59" t="s">
        <v>20</v>
      </c>
    </row>
    <row r="60" spans="1:2" x14ac:dyDescent="0.2">
      <c r="A60" t="s">
        <v>65</v>
      </c>
      <c r="B60" t="s">
        <v>66</v>
      </c>
    </row>
    <row r="61" spans="1:2" x14ac:dyDescent="0.2">
      <c r="A61" t="s">
        <v>9</v>
      </c>
      <c r="B61" t="s">
        <v>150</v>
      </c>
    </row>
    <row r="62" spans="1:2" x14ac:dyDescent="0.2">
      <c r="A62" t="s">
        <v>9</v>
      </c>
      <c r="B62" t="s">
        <v>151</v>
      </c>
    </row>
    <row r="63" spans="1:2" x14ac:dyDescent="0.2">
      <c r="A63" t="s">
        <v>13</v>
      </c>
      <c r="B63" t="s">
        <v>12</v>
      </c>
    </row>
    <row r="64" spans="1:2" x14ac:dyDescent="0.2">
      <c r="A64" t="s">
        <v>29</v>
      </c>
      <c r="B64" t="s">
        <v>28</v>
      </c>
    </row>
    <row r="65" spans="1:2" x14ac:dyDescent="0.2">
      <c r="A65" t="s">
        <v>6</v>
      </c>
      <c r="B65" t="s">
        <v>124</v>
      </c>
    </row>
    <row r="66" spans="1:2" x14ac:dyDescent="0.2">
      <c r="A66" t="s">
        <v>57</v>
      </c>
      <c r="B66" t="s">
        <v>12</v>
      </c>
    </row>
    <row r="67" spans="1:2" x14ac:dyDescent="0.2">
      <c r="A67" t="s">
        <v>46</v>
      </c>
      <c r="B67" t="s">
        <v>47</v>
      </c>
    </row>
    <row r="68" spans="1:2" x14ac:dyDescent="0.2">
      <c r="A68" t="s">
        <v>191</v>
      </c>
      <c r="B68" t="s">
        <v>192</v>
      </c>
    </row>
    <row r="69" spans="1:2" x14ac:dyDescent="0.2">
      <c r="A69" t="s">
        <v>70</v>
      </c>
      <c r="B69" t="s">
        <v>71</v>
      </c>
    </row>
    <row r="70" spans="1:2" x14ac:dyDescent="0.2">
      <c r="A70" t="s">
        <v>70</v>
      </c>
      <c r="B70" t="s">
        <v>146</v>
      </c>
    </row>
    <row r="71" spans="1:2" x14ac:dyDescent="0.2">
      <c r="A71" t="s">
        <v>194</v>
      </c>
      <c r="B71" t="s">
        <v>195</v>
      </c>
    </row>
    <row r="72" spans="1:2" x14ac:dyDescent="0.2">
      <c r="A72" t="s">
        <v>187</v>
      </c>
      <c r="B72" t="s">
        <v>188</v>
      </c>
    </row>
    <row r="73" spans="1:2" x14ac:dyDescent="0.2">
      <c r="A73" t="s">
        <v>16</v>
      </c>
      <c r="B73" t="s">
        <v>189</v>
      </c>
    </row>
    <row r="74" spans="1:2" x14ac:dyDescent="0.2">
      <c r="A74" t="s">
        <v>185</v>
      </c>
      <c r="B74" t="s">
        <v>45</v>
      </c>
    </row>
    <row r="75" spans="1:2" x14ac:dyDescent="0.2">
      <c r="A75" t="s">
        <v>3</v>
      </c>
      <c r="B75" t="s">
        <v>2</v>
      </c>
    </row>
    <row r="76" spans="1:2" x14ac:dyDescent="0.2">
      <c r="A76" t="s">
        <v>3</v>
      </c>
      <c r="B76" t="s">
        <v>18</v>
      </c>
    </row>
    <row r="77" spans="1:2" x14ac:dyDescent="0.2">
      <c r="A77" t="s">
        <v>19</v>
      </c>
      <c r="B77" t="s">
        <v>149</v>
      </c>
    </row>
    <row r="78" spans="1:2" x14ac:dyDescent="0.2">
      <c r="A78" t="s">
        <v>19</v>
      </c>
      <c r="B78" t="s">
        <v>80</v>
      </c>
    </row>
    <row r="79" spans="1:2" x14ac:dyDescent="0.2">
      <c r="A79" t="s">
        <v>27</v>
      </c>
      <c r="B79" t="s">
        <v>26</v>
      </c>
    </row>
    <row r="80" spans="1:2" x14ac:dyDescent="0.2">
      <c r="A80" t="s">
        <v>17</v>
      </c>
      <c r="B80" t="s">
        <v>76</v>
      </c>
    </row>
    <row r="81" spans="1:2" x14ac:dyDescent="0.2">
      <c r="A81" t="s">
        <v>9</v>
      </c>
      <c r="B81" t="s">
        <v>198</v>
      </c>
    </row>
    <row r="82" spans="1:2" x14ac:dyDescent="0.2">
      <c r="A82" t="s">
        <v>4</v>
      </c>
      <c r="B82" t="s">
        <v>109</v>
      </c>
    </row>
    <row r="83" spans="1:2" x14ac:dyDescent="0.2">
      <c r="A83" t="s">
        <v>196</v>
      </c>
      <c r="B83" t="s">
        <v>197</v>
      </c>
    </row>
    <row r="84" spans="1:2" x14ac:dyDescent="0.2">
      <c r="A84" t="s">
        <v>199</v>
      </c>
      <c r="B84" t="s">
        <v>200</v>
      </c>
    </row>
    <row r="85" spans="1:2" x14ac:dyDescent="0.2">
      <c r="A85" t="s">
        <v>147</v>
      </c>
      <c r="B85" t="s">
        <v>148</v>
      </c>
    </row>
    <row r="86" spans="1:2" x14ac:dyDescent="0.2">
      <c r="A86" t="s">
        <v>43</v>
      </c>
      <c r="B86" t="s">
        <v>78</v>
      </c>
    </row>
    <row r="87" spans="1:2" x14ac:dyDescent="0.2">
      <c r="A87" t="s">
        <v>113</v>
      </c>
      <c r="B87" t="s">
        <v>114</v>
      </c>
    </row>
    <row r="88" spans="1:2" x14ac:dyDescent="0.2">
      <c r="A88" t="s">
        <v>40</v>
      </c>
      <c r="B88" t="s">
        <v>41</v>
      </c>
    </row>
    <row r="89" spans="1:2" x14ac:dyDescent="0.2">
      <c r="A89" t="s">
        <v>21</v>
      </c>
      <c r="B89" t="s">
        <v>20</v>
      </c>
    </row>
    <row r="90" spans="1:2" x14ac:dyDescent="0.2">
      <c r="A90" t="s">
        <v>91</v>
      </c>
      <c r="B90" t="s">
        <v>116</v>
      </c>
    </row>
    <row r="91" spans="1:2" x14ac:dyDescent="0.2">
      <c r="A91" t="s">
        <v>113</v>
      </c>
      <c r="B91" t="s">
        <v>114</v>
      </c>
    </row>
    <row r="92" spans="1:2" x14ac:dyDescent="0.2">
      <c r="A92" t="s">
        <v>29</v>
      </c>
      <c r="B92" t="s">
        <v>28</v>
      </c>
    </row>
    <row r="93" spans="1:2" x14ac:dyDescent="0.2">
      <c r="A93" t="s">
        <v>16</v>
      </c>
      <c r="B93" t="s">
        <v>189</v>
      </c>
    </row>
    <row r="94" spans="1:2" x14ac:dyDescent="0.2">
      <c r="A94" t="s">
        <v>16</v>
      </c>
      <c r="B94" t="s">
        <v>96</v>
      </c>
    </row>
    <row r="95" spans="1:2" x14ac:dyDescent="0.2">
      <c r="A95" t="s">
        <v>3</v>
      </c>
      <c r="B95" t="s">
        <v>18</v>
      </c>
    </row>
    <row r="96" spans="1:2" x14ac:dyDescent="0.2">
      <c r="A96" t="s">
        <v>46</v>
      </c>
      <c r="B96" t="s">
        <v>47</v>
      </c>
    </row>
    <row r="97" spans="1:2" x14ac:dyDescent="0.2">
      <c r="A97" t="s">
        <v>3</v>
      </c>
      <c r="B97" t="s">
        <v>2</v>
      </c>
    </row>
    <row r="98" spans="1:2" x14ac:dyDescent="0.2">
      <c r="A98" t="s">
        <v>9</v>
      </c>
      <c r="B98" t="s">
        <v>151</v>
      </c>
    </row>
    <row r="99" spans="1:2" x14ac:dyDescent="0.2">
      <c r="A99" t="s">
        <v>187</v>
      </c>
      <c r="B99" t="s">
        <v>188</v>
      </c>
    </row>
    <row r="100" spans="1:2" x14ac:dyDescent="0.2">
      <c r="A100" t="s">
        <v>42</v>
      </c>
      <c r="B100" t="s">
        <v>44</v>
      </c>
    </row>
    <row r="101" spans="1:2" x14ac:dyDescent="0.2">
      <c r="A101" t="s">
        <v>19</v>
      </c>
      <c r="B101" t="s">
        <v>149</v>
      </c>
    </row>
    <row r="102" spans="1:2" x14ac:dyDescent="0.2">
      <c r="A102" t="s">
        <v>190</v>
      </c>
      <c r="B102" t="s">
        <v>96</v>
      </c>
    </row>
    <row r="103" spans="1:2" x14ac:dyDescent="0.2">
      <c r="A103" t="s">
        <v>16</v>
      </c>
      <c r="B103" t="s">
        <v>193</v>
      </c>
    </row>
    <row r="104" spans="1:2" x14ac:dyDescent="0.2">
      <c r="A104" t="s">
        <v>17</v>
      </c>
      <c r="B104" t="s">
        <v>76</v>
      </c>
    </row>
    <row r="105" spans="1:2" x14ac:dyDescent="0.2">
      <c r="A105" t="s">
        <v>147</v>
      </c>
      <c r="B105" t="s">
        <v>148</v>
      </c>
    </row>
    <row r="106" spans="1:2" x14ac:dyDescent="0.2">
      <c r="A106" t="s">
        <v>43</v>
      </c>
      <c r="B106" t="s">
        <v>78</v>
      </c>
    </row>
    <row r="107" spans="1:2" x14ac:dyDescent="0.2">
      <c r="A107" t="s">
        <v>194</v>
      </c>
      <c r="B107" t="s">
        <v>195</v>
      </c>
    </row>
    <row r="108" spans="1:2" x14ac:dyDescent="0.2">
      <c r="A108" t="s">
        <v>4</v>
      </c>
      <c r="B108" s="10" t="s">
        <v>203</v>
      </c>
    </row>
    <row r="109" spans="1:2" x14ac:dyDescent="0.2">
      <c r="A109" t="s">
        <v>183</v>
      </c>
      <c r="B109" t="s">
        <v>184</v>
      </c>
    </row>
    <row r="110" spans="1:2" x14ac:dyDescent="0.2">
      <c r="A110" t="s">
        <v>13</v>
      </c>
      <c r="B110" t="s">
        <v>12</v>
      </c>
    </row>
    <row r="111" spans="1:2" x14ac:dyDescent="0.2">
      <c r="A111" t="s">
        <v>57</v>
      </c>
      <c r="B111" t="s">
        <v>12</v>
      </c>
    </row>
    <row r="112" spans="1:2" x14ac:dyDescent="0.2">
      <c r="A112" t="s">
        <v>6</v>
      </c>
      <c r="B112" t="s">
        <v>124</v>
      </c>
    </row>
    <row r="113" spans="1:2" x14ac:dyDescent="0.2">
      <c r="A113" t="s">
        <v>201</v>
      </c>
      <c r="B113" t="s">
        <v>202</v>
      </c>
    </row>
    <row r="114" spans="1:2" x14ac:dyDescent="0.2">
      <c r="A114" t="s">
        <v>21</v>
      </c>
      <c r="B114" t="s">
        <v>20</v>
      </c>
    </row>
    <row r="115" spans="1:2" x14ac:dyDescent="0.2">
      <c r="A115" t="s">
        <v>16</v>
      </c>
      <c r="B115" t="s">
        <v>45</v>
      </c>
    </row>
    <row r="116" spans="1:2" x14ac:dyDescent="0.2">
      <c r="A116" t="s">
        <v>161</v>
      </c>
      <c r="B116" t="s">
        <v>2</v>
      </c>
    </row>
    <row r="117" spans="1:2" x14ac:dyDescent="0.2">
      <c r="A117" t="s">
        <v>8</v>
      </c>
      <c r="B117" t="s">
        <v>7</v>
      </c>
    </row>
    <row r="118" spans="1:2" x14ac:dyDescent="0.2">
      <c r="A118" t="s">
        <v>19</v>
      </c>
      <c r="B118" t="s">
        <v>80</v>
      </c>
    </row>
    <row r="119" spans="1:2" x14ac:dyDescent="0.2">
      <c r="A119" t="s">
        <v>9</v>
      </c>
      <c r="B119" t="s">
        <v>198</v>
      </c>
    </row>
    <row r="120" spans="1:2" x14ac:dyDescent="0.2">
      <c r="A120" t="s">
        <v>40</v>
      </c>
      <c r="B120" t="s">
        <v>41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64"/>
  <sheetViews>
    <sheetView topLeftCell="A55" workbookViewId="0">
      <selection activeCell="A62" sqref="A62"/>
    </sheetView>
  </sheetViews>
  <sheetFormatPr defaultRowHeight="12.75" x14ac:dyDescent="0.2"/>
  <cols>
    <col min="1" max="1" width="16.28515625" bestFit="1" customWidth="1"/>
  </cols>
  <sheetData>
    <row r="1" spans="1:1" x14ac:dyDescent="0.2">
      <c r="A1" s="10" t="s">
        <v>220</v>
      </c>
    </row>
    <row r="2" spans="1:1" x14ac:dyDescent="0.2">
      <c r="A2" t="s">
        <v>223</v>
      </c>
    </row>
    <row r="3" spans="1:1" x14ac:dyDescent="0.2">
      <c r="A3" t="s">
        <v>72</v>
      </c>
    </row>
    <row r="4" spans="1:1" x14ac:dyDescent="0.2">
      <c r="A4" t="s">
        <v>138</v>
      </c>
    </row>
    <row r="5" spans="1:1" x14ac:dyDescent="0.2">
      <c r="A5" t="s">
        <v>180</v>
      </c>
    </row>
    <row r="6" spans="1:1" x14ac:dyDescent="0.2">
      <c r="A6" t="s">
        <v>224</v>
      </c>
    </row>
    <row r="7" spans="1:1" x14ac:dyDescent="0.2">
      <c r="A7" t="s">
        <v>30</v>
      </c>
    </row>
    <row r="8" spans="1:1" x14ac:dyDescent="0.2">
      <c r="A8" s="23" t="s">
        <v>234</v>
      </c>
    </row>
    <row r="9" spans="1:1" x14ac:dyDescent="0.2">
      <c r="A9" t="s">
        <v>49</v>
      </c>
    </row>
    <row r="10" spans="1:1" x14ac:dyDescent="0.2">
      <c r="A10" t="s">
        <v>157</v>
      </c>
    </row>
    <row r="11" spans="1:1" x14ac:dyDescent="0.2">
      <c r="A11" t="s">
        <v>168</v>
      </c>
    </row>
    <row r="12" spans="1:1" x14ac:dyDescent="0.2">
      <c r="A12" s="23" t="s">
        <v>169</v>
      </c>
    </row>
    <row r="13" spans="1:1" x14ac:dyDescent="0.2">
      <c r="A13" s="10" t="s">
        <v>165</v>
      </c>
    </row>
    <row r="14" spans="1:1" x14ac:dyDescent="0.2">
      <c r="A14" s="10" t="s">
        <v>97</v>
      </c>
    </row>
    <row r="15" spans="1:1" x14ac:dyDescent="0.2">
      <c r="A15" s="23" t="s">
        <v>221</v>
      </c>
    </row>
    <row r="16" spans="1:1" x14ac:dyDescent="0.2">
      <c r="A16" s="23" t="s">
        <v>232</v>
      </c>
    </row>
    <row r="17" spans="1:1" x14ac:dyDescent="0.2">
      <c r="A17" s="23" t="s">
        <v>31</v>
      </c>
    </row>
    <row r="18" spans="1:1" x14ac:dyDescent="0.2">
      <c r="A18" s="23" t="s">
        <v>53</v>
      </c>
    </row>
    <row r="19" spans="1:1" x14ac:dyDescent="0.2">
      <c r="A19" s="23" t="s">
        <v>122</v>
      </c>
    </row>
    <row r="20" spans="1:1" x14ac:dyDescent="0.2">
      <c r="A20" t="s">
        <v>139</v>
      </c>
    </row>
    <row r="21" spans="1:1" x14ac:dyDescent="0.2">
      <c r="A21" t="s">
        <v>81</v>
      </c>
    </row>
    <row r="22" spans="1:1" x14ac:dyDescent="0.2">
      <c r="A22" t="s">
        <v>104</v>
      </c>
    </row>
    <row r="23" spans="1:1" x14ac:dyDescent="0.2">
      <c r="A23" t="s">
        <v>33</v>
      </c>
    </row>
    <row r="24" spans="1:1" x14ac:dyDescent="0.2">
      <c r="A24" t="s">
        <v>229</v>
      </c>
    </row>
    <row r="25" spans="1:1" x14ac:dyDescent="0.2">
      <c r="A25" t="s">
        <v>35</v>
      </c>
    </row>
    <row r="26" spans="1:1" x14ac:dyDescent="0.2">
      <c r="A26" t="s">
        <v>235</v>
      </c>
    </row>
    <row r="27" spans="1:1" x14ac:dyDescent="0.2">
      <c r="A27" t="s">
        <v>51</v>
      </c>
    </row>
    <row r="28" spans="1:1" x14ac:dyDescent="0.2">
      <c r="A28" s="23" t="s">
        <v>77</v>
      </c>
    </row>
    <row r="29" spans="1:1" x14ac:dyDescent="0.2">
      <c r="A29" s="10" t="s">
        <v>163</v>
      </c>
    </row>
    <row r="30" spans="1:1" x14ac:dyDescent="0.2">
      <c r="A30" s="23" t="s">
        <v>182</v>
      </c>
    </row>
    <row r="31" spans="1:1" x14ac:dyDescent="0.2">
      <c r="A31" s="10" t="s">
        <v>228</v>
      </c>
    </row>
    <row r="32" spans="1:1" x14ac:dyDescent="0.2">
      <c r="A32" s="10" t="s">
        <v>39</v>
      </c>
    </row>
    <row r="33" spans="1:1" x14ac:dyDescent="0.2">
      <c r="A33" t="s">
        <v>134</v>
      </c>
    </row>
    <row r="34" spans="1:1" x14ac:dyDescent="0.2">
      <c r="A34" s="23" t="s">
        <v>141</v>
      </c>
    </row>
    <row r="35" spans="1:1" x14ac:dyDescent="0.2">
      <c r="A35" s="23" t="s">
        <v>99</v>
      </c>
    </row>
    <row r="36" spans="1:1" x14ac:dyDescent="0.2">
      <c r="A36" s="23" t="s">
        <v>170</v>
      </c>
    </row>
    <row r="37" spans="1:1" x14ac:dyDescent="0.2">
      <c r="A37" s="23" t="s">
        <v>48</v>
      </c>
    </row>
    <row r="38" spans="1:1" x14ac:dyDescent="0.2">
      <c r="A38" s="23" t="s">
        <v>59</v>
      </c>
    </row>
    <row r="39" spans="1:1" x14ac:dyDescent="0.2">
      <c r="A39" s="23" t="s">
        <v>112</v>
      </c>
    </row>
    <row r="40" spans="1:1" x14ac:dyDescent="0.2">
      <c r="A40" s="23" t="s">
        <v>54</v>
      </c>
    </row>
    <row r="41" spans="1:1" x14ac:dyDescent="0.2">
      <c r="A41" s="23" t="s">
        <v>222</v>
      </c>
    </row>
    <row r="42" spans="1:1" x14ac:dyDescent="0.2">
      <c r="A42" t="s">
        <v>227</v>
      </c>
    </row>
    <row r="43" spans="1:1" x14ac:dyDescent="0.2">
      <c r="A43" s="23" t="s">
        <v>100</v>
      </c>
    </row>
    <row r="44" spans="1:1" x14ac:dyDescent="0.2">
      <c r="A44" s="23" t="s">
        <v>52</v>
      </c>
    </row>
    <row r="45" spans="1:1" x14ac:dyDescent="0.2">
      <c r="A45" t="s">
        <v>98</v>
      </c>
    </row>
    <row r="46" spans="1:1" x14ac:dyDescent="0.2">
      <c r="A46" s="23" t="s">
        <v>36</v>
      </c>
    </row>
    <row r="47" spans="1:1" x14ac:dyDescent="0.2">
      <c r="A47" s="23" t="s">
        <v>233</v>
      </c>
    </row>
    <row r="48" spans="1:1" x14ac:dyDescent="0.2">
      <c r="A48" t="s">
        <v>67</v>
      </c>
    </row>
    <row r="49" spans="1:1" x14ac:dyDescent="0.2">
      <c r="A49" s="23" t="s">
        <v>55</v>
      </c>
    </row>
    <row r="50" spans="1:1" x14ac:dyDescent="0.2">
      <c r="A50" t="s">
        <v>115</v>
      </c>
    </row>
    <row r="51" spans="1:1" x14ac:dyDescent="0.2">
      <c r="A51" s="23" t="s">
        <v>32</v>
      </c>
    </row>
    <row r="52" spans="1:1" x14ac:dyDescent="0.2">
      <c r="A52" s="23" t="s">
        <v>102</v>
      </c>
    </row>
    <row r="53" spans="1:1" x14ac:dyDescent="0.2">
      <c r="A53" t="s">
        <v>164</v>
      </c>
    </row>
    <row r="54" spans="1:1" x14ac:dyDescent="0.2">
      <c r="A54" t="s">
        <v>226</v>
      </c>
    </row>
    <row r="55" spans="1:1" x14ac:dyDescent="0.2">
      <c r="A55" t="s">
        <v>56</v>
      </c>
    </row>
    <row r="56" spans="1:1" x14ac:dyDescent="0.2">
      <c r="A56" t="s">
        <v>236</v>
      </c>
    </row>
    <row r="57" spans="1:1" x14ac:dyDescent="0.2">
      <c r="A57" t="s">
        <v>238</v>
      </c>
    </row>
    <row r="58" spans="1:1" x14ac:dyDescent="0.2">
      <c r="A58" t="s">
        <v>84</v>
      </c>
    </row>
    <row r="59" spans="1:1" x14ac:dyDescent="0.2">
      <c r="A59" t="s">
        <v>75</v>
      </c>
    </row>
    <row r="60" spans="1:1" x14ac:dyDescent="0.2">
      <c r="A60" s="10" t="s">
        <v>239</v>
      </c>
    </row>
    <row r="61" spans="1:1" x14ac:dyDescent="0.2">
      <c r="A61" s="10" t="s">
        <v>263</v>
      </c>
    </row>
    <row r="62" spans="1:1" x14ac:dyDescent="0.2">
      <c r="A62" t="s">
        <v>266</v>
      </c>
    </row>
    <row r="63" spans="1:1" x14ac:dyDescent="0.2">
      <c r="A63" t="s">
        <v>267</v>
      </c>
    </row>
    <row r="64" spans="1:1" x14ac:dyDescent="0.2">
      <c r="A64" t="s">
        <v>269</v>
      </c>
    </row>
  </sheetData>
  <sortState ref="A2:A74">
    <sortCondition ref="A2:A74"/>
  </sortState>
  <conditionalFormatting sqref="A84:A1048576 A1:A82">
    <cfRule type="duplicateValues" dxfId="6" priority="1"/>
  </conditionalFormatting>
  <conditionalFormatting sqref="A1:A53 A84:A1048576 A61:A82">
    <cfRule type="duplicateValues" dxfId="5" priority="19"/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77"/>
  <sheetViews>
    <sheetView zoomScale="70" zoomScaleNormal="70" workbookViewId="0">
      <selection activeCell="A42" sqref="A42"/>
    </sheetView>
  </sheetViews>
  <sheetFormatPr defaultRowHeight="12.75" x14ac:dyDescent="0.2"/>
  <cols>
    <col min="1" max="1" width="20.140625" bestFit="1" customWidth="1"/>
    <col min="2" max="2" width="9.7109375" bestFit="1" customWidth="1"/>
    <col min="3" max="3" width="12.85546875" bestFit="1" customWidth="1"/>
    <col min="4" max="4" width="11.7109375" bestFit="1" customWidth="1"/>
    <col min="5" max="5" width="15.85546875" bestFit="1" customWidth="1"/>
    <col min="6" max="6" width="11" bestFit="1" customWidth="1"/>
    <col min="7" max="7" width="17.28515625" bestFit="1" customWidth="1"/>
    <col min="8" max="8" width="15.85546875" bestFit="1" customWidth="1"/>
    <col min="9" max="9" width="13.5703125" bestFit="1" customWidth="1"/>
    <col min="10" max="10" width="17.42578125" bestFit="1" customWidth="1"/>
    <col min="11" max="11" width="11.5703125" bestFit="1" customWidth="1"/>
    <col min="12" max="12" width="13" bestFit="1" customWidth="1"/>
  </cols>
  <sheetData>
    <row r="1" spans="1:12" x14ac:dyDescent="0.2">
      <c r="A1" s="10" t="s">
        <v>220</v>
      </c>
      <c r="B1" s="10" t="s">
        <v>208</v>
      </c>
      <c r="C1" s="10" t="s">
        <v>258</v>
      </c>
      <c r="D1" s="10" t="s">
        <v>259</v>
      </c>
      <c r="E1" s="10" t="s">
        <v>242</v>
      </c>
      <c r="F1" s="10" t="s">
        <v>260</v>
      </c>
      <c r="G1" s="10" t="s">
        <v>231</v>
      </c>
      <c r="H1" s="10" t="s">
        <v>255</v>
      </c>
      <c r="I1" s="10" t="s">
        <v>230</v>
      </c>
      <c r="J1" s="10" t="s">
        <v>261</v>
      </c>
      <c r="K1" s="10" t="s">
        <v>254</v>
      </c>
      <c r="L1" s="10" t="s">
        <v>219</v>
      </c>
    </row>
    <row r="2" spans="1:12" ht="15" x14ac:dyDescent="0.2">
      <c r="A2" s="28" t="s">
        <v>224</v>
      </c>
      <c r="B2" s="123">
        <f>IFERROR(VLOOKUP($A2,table1[],3,FALSE),"-")</f>
        <v>2.63</v>
      </c>
      <c r="C2" s="123">
        <f>IFERROR(VLOOKUP($A2,Table2[],12,FALSE),"-")</f>
        <v>4.17</v>
      </c>
      <c r="D2" s="123">
        <f>IFERROR(VLOOKUP($A2,table3[],3,FALSE),"-")</f>
        <v>2.68</v>
      </c>
      <c r="E2" s="123">
        <f>IFERROR(VLOOKUP($A2,Table4[],12,FALSE),"-")</f>
        <v>4.3499999999999996</v>
      </c>
      <c r="F2" s="123">
        <f>IFERROR(VLOOKUP($A2,table5[],3,FALSE),"-")</f>
        <v>10.27</v>
      </c>
      <c r="G2" s="123">
        <f>IFERROR(VLOOKUP($A2,table6[],3,FALSE),"-")</f>
        <v>3.85</v>
      </c>
      <c r="H2" s="123">
        <f>IFERROR(VLOOKUP($A2,table7[],3,FALSE),"-")</f>
        <v>3.09</v>
      </c>
      <c r="I2" s="123">
        <f>IFERROR(VLOOKUP($A2,table8[],3,FALSE),"-")</f>
        <v>4.6399999999999997</v>
      </c>
      <c r="J2" s="123">
        <f>IFERROR(VLOOKUP($A2,table9[],3,FALSE),"-")</f>
        <v>4.2300000000000004</v>
      </c>
      <c r="K2" s="123">
        <f>IFERROR(VLOOKUP($A2,table10[],3,FALSE),"-")</f>
        <v>2.23</v>
      </c>
      <c r="L2" s="114">
        <f>MAX(Table16[[#This Row],[Otay]:[San V]])</f>
        <v>10.27</v>
      </c>
    </row>
    <row r="3" spans="1:12" ht="15" x14ac:dyDescent="0.2">
      <c r="A3" s="28" t="s">
        <v>59</v>
      </c>
      <c r="B3" s="144">
        <f>IFERROR(VLOOKUP($A3,table1[],3,FALSE),"-")</f>
        <v>1.42</v>
      </c>
      <c r="C3" s="144">
        <f>IFERROR(VLOOKUP($A3,Table2[],12,FALSE),"-")</f>
        <v>3.51</v>
      </c>
      <c r="D3" s="144">
        <f>IFERROR(VLOOKUP($A3,table3[],3,FALSE),"-")</f>
        <v>2.46</v>
      </c>
      <c r="E3" s="144">
        <f>IFERROR(VLOOKUP($A3,Table4[],12,FALSE),"-")</f>
        <v>4.84</v>
      </c>
      <c r="F3" s="144">
        <f>IFERROR(VLOOKUP($A3,table5[],3,FALSE),"-")</f>
        <v>4.03</v>
      </c>
      <c r="G3" s="144">
        <f>IFERROR(VLOOKUP($A3,table6[],3,FALSE),"-")</f>
        <v>9.01</v>
      </c>
      <c r="H3" s="144">
        <f>IFERROR(VLOOKUP($A3,table7[],3,FALSE),"-")</f>
        <v>4.05</v>
      </c>
      <c r="I3" s="144">
        <f>IFERROR(VLOOKUP($A3,table8[],3,FALSE),"-")</f>
        <v>4.2300000000000004</v>
      </c>
      <c r="J3" s="144">
        <f>IFERROR(VLOOKUP($A3,table9[],3,FALSE),"-")</f>
        <v>2.2999999999999998</v>
      </c>
      <c r="K3" s="144">
        <f>IFERROR(VLOOKUP($A3,table10[],3,FALSE),"-")</f>
        <v>2.37</v>
      </c>
      <c r="L3" s="114">
        <f>MAX(Table16[[#This Row],[Otay]:[San V]])</f>
        <v>9.01</v>
      </c>
    </row>
    <row r="4" spans="1:12" ht="15" x14ac:dyDescent="0.2">
      <c r="A4" s="28" t="s">
        <v>100</v>
      </c>
      <c r="B4" s="144">
        <f>IFERROR(VLOOKUP($A4,table1[],3,FALSE),"-")</f>
        <v>3.24</v>
      </c>
      <c r="C4" s="144">
        <f>IFERROR(VLOOKUP($A4,Table2[],12,FALSE),"-")</f>
        <v>4.57</v>
      </c>
      <c r="D4" s="144">
        <f>IFERROR(VLOOKUP($A4,table3[],3,FALSE),"-")</f>
        <v>3.89</v>
      </c>
      <c r="E4" s="144">
        <f>IFERROR(VLOOKUP($A4,Table4[],12,FALSE),"-")</f>
        <v>5.36</v>
      </c>
      <c r="F4" s="144">
        <f>IFERROR(VLOOKUP($A4,table5[],3,FALSE),"-")</f>
        <v>7.32</v>
      </c>
      <c r="G4" s="144">
        <f>IFERROR(VLOOKUP($A4,table6[],3,FALSE),"-")</f>
        <v>2.75</v>
      </c>
      <c r="H4" s="144">
        <f>IFERROR(VLOOKUP($A4,table7[],3,FALSE),"-")</f>
        <v>3.92</v>
      </c>
      <c r="I4" s="144">
        <f>IFERROR(VLOOKUP($A4,table8[],3,FALSE),"-")</f>
        <v>7.05</v>
      </c>
      <c r="J4" s="144">
        <f>IFERROR(VLOOKUP($A4,table9[],3,FALSE),"-")</f>
        <v>3.8</v>
      </c>
      <c r="K4" s="144">
        <f>IFERROR(VLOOKUP($A4,table10[],3,FALSE),"-")</f>
        <v>2.17</v>
      </c>
      <c r="L4" s="114">
        <f>MAX(Table16[[#This Row],[Otay]:[San V]])</f>
        <v>7.32</v>
      </c>
    </row>
    <row r="5" spans="1:12" ht="15" x14ac:dyDescent="0.2">
      <c r="A5" s="122" t="s">
        <v>223</v>
      </c>
      <c r="B5" s="144">
        <f>IFERROR(VLOOKUP($A5,table1[],3,FALSE),"-")</f>
        <v>2.52</v>
      </c>
      <c r="C5" s="144">
        <f>IFERROR(VLOOKUP($A5,Table2[],12,FALSE),"-")</f>
        <v>4.7699999999999996</v>
      </c>
      <c r="D5" s="144">
        <f>IFERROR(VLOOKUP($A5,table3[],3,FALSE),"-")</f>
        <v>3.28</v>
      </c>
      <c r="E5" s="144">
        <f>IFERROR(VLOOKUP($A5,Table4[],12,FALSE),"-")</f>
        <v>3.43</v>
      </c>
      <c r="F5" s="144">
        <f>IFERROR(VLOOKUP($A5,table5[],3,FALSE),"-")</f>
        <v>3.56</v>
      </c>
      <c r="G5" s="144">
        <f>IFERROR(VLOOKUP($A5,table6[],3,FALSE),"-")</f>
        <v>3.53</v>
      </c>
      <c r="H5" s="144">
        <f>IFERROR(VLOOKUP($A5,table7[],3,FALSE),"-")</f>
        <v>6.27</v>
      </c>
      <c r="I5" s="144">
        <f>IFERROR(VLOOKUP($A5,table8[],3,FALSE),"-")</f>
        <v>6.86</v>
      </c>
      <c r="J5" s="144">
        <f>IFERROR(VLOOKUP($A5,table9[],3,FALSE),"-")</f>
        <v>2.64</v>
      </c>
      <c r="K5" s="144">
        <f>IFERROR(VLOOKUP($A5,table10[],3,FALSE),"-")</f>
        <v>3.34</v>
      </c>
      <c r="L5" s="114">
        <f>MAX(Table16[[#This Row],[Otay]:[San V]])</f>
        <v>6.86</v>
      </c>
    </row>
    <row r="6" spans="1:12" ht="15" x14ac:dyDescent="0.2">
      <c r="A6" s="28" t="s">
        <v>75</v>
      </c>
      <c r="B6" s="144">
        <f>IFERROR(VLOOKUP($A6,table1[],3,FALSE),"-")</f>
        <v>0</v>
      </c>
      <c r="C6" s="144">
        <f>IFERROR(VLOOKUP($A6,Table2[],12,FALSE),"-")</f>
        <v>3.1</v>
      </c>
      <c r="D6" s="144">
        <f>IFERROR(VLOOKUP($A6,table3[],3,FALSE),"-")</f>
        <v>2.08</v>
      </c>
      <c r="E6" s="144">
        <f>IFERROR(VLOOKUP($A6,Table4[],12,FALSE),"-")</f>
        <v>5.35</v>
      </c>
      <c r="F6" s="144">
        <f>IFERROR(VLOOKUP($A6,table5[],3,FALSE),"-")</f>
        <v>6.61</v>
      </c>
      <c r="G6" s="144">
        <f>IFERROR(VLOOKUP($A6,table6[],3,FALSE),"-")</f>
        <v>2.4900000000000002</v>
      </c>
      <c r="H6" s="144">
        <f>IFERROR(VLOOKUP($A6,table7[],3,FALSE),"-")</f>
        <v>4.04</v>
      </c>
      <c r="I6" s="144">
        <f>IFERROR(VLOOKUP($A6,table8[],3,FALSE),"-")</f>
        <v>1.58</v>
      </c>
      <c r="J6" s="144">
        <f>IFERROR(VLOOKUP($A6,table9[],3,FALSE),"-")</f>
        <v>3.75</v>
      </c>
      <c r="K6" s="144">
        <f>IFERROR(VLOOKUP($A6,table10[],3,FALSE),"-")</f>
        <v>2.36</v>
      </c>
      <c r="L6" s="114">
        <f>MAX(Table16[[#This Row],[Otay]:[San V]])</f>
        <v>6.61</v>
      </c>
    </row>
    <row r="7" spans="1:12" ht="15" x14ac:dyDescent="0.2">
      <c r="A7" s="28" t="s">
        <v>170</v>
      </c>
      <c r="B7" s="144">
        <f>IFERROR(VLOOKUP($A7,table1[],3,FALSE),"-")</f>
        <v>4.57</v>
      </c>
      <c r="C7" s="144">
        <f>IFERROR(VLOOKUP($A7,Table2[],12,FALSE),"-")</f>
        <v>0</v>
      </c>
      <c r="D7" s="144">
        <f>IFERROR(VLOOKUP($A7,table3[],3,FALSE),"-")</f>
        <v>6.56</v>
      </c>
      <c r="E7" s="144">
        <f>IFERROR(VLOOKUP($A7,Table4[],12,FALSE),"-")</f>
        <v>0</v>
      </c>
      <c r="F7" s="144">
        <f>IFERROR(VLOOKUP($A7,table5[],3,FALSE),"-")</f>
        <v>2.76</v>
      </c>
      <c r="G7" s="144">
        <f>IFERROR(VLOOKUP($A7,table6[],3,FALSE),"-")</f>
        <v>1.69</v>
      </c>
      <c r="H7" s="144">
        <f>IFERROR(VLOOKUP($A7,table7[],3,FALSE),"-")</f>
        <v>2.2000000000000002</v>
      </c>
      <c r="I7" s="144">
        <f>IFERROR(VLOOKUP($A7,table8[],3,FALSE),"-")</f>
        <v>2.15</v>
      </c>
      <c r="J7" s="144">
        <f>IFERROR(VLOOKUP($A7,table9[],3,FALSE),"-")</f>
        <v>0</v>
      </c>
      <c r="K7" s="144" t="str">
        <f>IFERROR(VLOOKUP($A7,table10[],3,FALSE),"-")</f>
        <v>-</v>
      </c>
      <c r="L7" s="114">
        <f>MAX(Table16[[#This Row],[Otay]:[San V]])</f>
        <v>6.56</v>
      </c>
    </row>
    <row r="8" spans="1:12" ht="15" x14ac:dyDescent="0.2">
      <c r="A8" s="28" t="s">
        <v>33</v>
      </c>
      <c r="B8" s="144">
        <f>IFERROR(VLOOKUP($A8,table1[],3,FALSE),"-")</f>
        <v>1.99</v>
      </c>
      <c r="C8" s="144">
        <f>IFERROR(VLOOKUP($A8,Table2[],12,FALSE),"-")</f>
        <v>3.71</v>
      </c>
      <c r="D8" s="144">
        <f>IFERROR(VLOOKUP($A8,table3[],3,FALSE),"-")</f>
        <v>2.44</v>
      </c>
      <c r="E8" s="144">
        <f>IFERROR(VLOOKUP($A8,Table4[],12,FALSE),"-")</f>
        <v>2.4900000000000002</v>
      </c>
      <c r="F8" s="144">
        <f>IFERROR(VLOOKUP($A8,table5[],3,FALSE),"-")</f>
        <v>2.87</v>
      </c>
      <c r="G8" s="144">
        <f>IFERROR(VLOOKUP($A8,table6[],3,FALSE),"-")</f>
        <v>2.0499999999999998</v>
      </c>
      <c r="H8" s="144">
        <f>IFERROR(VLOOKUP($A8,table7[],3,FALSE),"-")</f>
        <v>6.08</v>
      </c>
      <c r="I8" s="144">
        <f>IFERROR(VLOOKUP($A8,table8[],3,FALSE),"-")</f>
        <v>2.74</v>
      </c>
      <c r="J8" s="144">
        <f>IFERROR(VLOOKUP($A8,table9[],3,FALSE),"-")</f>
        <v>1.91</v>
      </c>
      <c r="K8" s="144">
        <f>IFERROR(VLOOKUP($A8,table10[],3,FALSE),"-")</f>
        <v>2.1</v>
      </c>
      <c r="L8" s="114">
        <f>MAX(Table16[[#This Row],[Otay]:[San V]])</f>
        <v>6.08</v>
      </c>
    </row>
    <row r="9" spans="1:12" ht="15" x14ac:dyDescent="0.2">
      <c r="A9" s="28" t="s">
        <v>232</v>
      </c>
      <c r="B9" s="144">
        <f>IFERROR(VLOOKUP($A9,table1[],3,FALSE),"-")</f>
        <v>0</v>
      </c>
      <c r="C9" s="144">
        <f>IFERROR(VLOOKUP($A9,Table2[],12,FALSE),"-")</f>
        <v>0</v>
      </c>
      <c r="D9" s="144">
        <f>IFERROR(VLOOKUP($A9,table3[],3,FALSE),"-")</f>
        <v>2.54</v>
      </c>
      <c r="E9" s="144">
        <f>IFERROR(VLOOKUP($A9,Table4[],12,FALSE),"-")</f>
        <v>4.2699999999999996</v>
      </c>
      <c r="F9" s="144">
        <f>IFERROR(VLOOKUP($A9,table5[],3,FALSE),"-")</f>
        <v>0</v>
      </c>
      <c r="G9" s="144">
        <f>IFERROR(VLOOKUP($A9,table6[],3,FALSE),"-")</f>
        <v>2.82</v>
      </c>
      <c r="H9" s="144">
        <f>IFERROR(VLOOKUP($A9,table7[],3,FALSE),"-")</f>
        <v>2.81</v>
      </c>
      <c r="I9" s="144">
        <f>IFERROR(VLOOKUP($A9,table8[],3,FALSE),"-")</f>
        <v>5.79</v>
      </c>
      <c r="J9" s="144">
        <f>IFERROR(VLOOKUP($A9,table9[],3,FALSE),"-")</f>
        <v>3.16</v>
      </c>
      <c r="K9" s="144">
        <f>IFERROR(VLOOKUP($A9,table10[],3,FALSE),"-")</f>
        <v>3.28</v>
      </c>
      <c r="L9" s="114">
        <f>MAX(Table16[[#This Row],[Otay]:[San V]])</f>
        <v>5.79</v>
      </c>
    </row>
    <row r="10" spans="1:12" ht="15" x14ac:dyDescent="0.2">
      <c r="A10" s="28" t="s">
        <v>54</v>
      </c>
      <c r="B10" s="144">
        <f>IFERROR(VLOOKUP($A10,table1[],3,FALSE),"-")</f>
        <v>3.96</v>
      </c>
      <c r="C10" s="144">
        <f>IFERROR(VLOOKUP($A10,Table2[],12,FALSE),"-")</f>
        <v>0</v>
      </c>
      <c r="D10" s="144">
        <f>IFERROR(VLOOKUP($A10,table3[],3,FALSE),"-")</f>
        <v>2.75</v>
      </c>
      <c r="E10" s="144">
        <f>IFERROR(VLOOKUP($A10,Table4[],12,FALSE),"-")</f>
        <v>3.21</v>
      </c>
      <c r="F10" s="144">
        <f>IFERROR(VLOOKUP($A10,table5[],3,FALSE),"-")</f>
        <v>2.35</v>
      </c>
      <c r="G10" s="144">
        <f>IFERROR(VLOOKUP($A10,table6[],3,FALSE),"-")</f>
        <v>5.71</v>
      </c>
      <c r="H10" s="144">
        <f>IFERROR(VLOOKUP($A10,table7[],3,FALSE),"-")</f>
        <v>4.21</v>
      </c>
      <c r="I10" s="144">
        <f>IFERROR(VLOOKUP($A10,table8[],3,FALSE),"-")</f>
        <v>3.58</v>
      </c>
      <c r="J10" s="144">
        <f>IFERROR(VLOOKUP($A10,table9[],3,FALSE),"-")</f>
        <v>3.75</v>
      </c>
      <c r="K10" s="144">
        <f>IFERROR(VLOOKUP($A10,table10[],3,FALSE),"-")</f>
        <v>2.57</v>
      </c>
      <c r="L10" s="114">
        <f>MAX(Table16[[#This Row],[Otay]:[San V]])</f>
        <v>5.71</v>
      </c>
    </row>
    <row r="11" spans="1:12" ht="15" x14ac:dyDescent="0.2">
      <c r="A11" s="28" t="s">
        <v>221</v>
      </c>
      <c r="B11" s="144">
        <f>IFERROR(VLOOKUP($A11,table1[],3,FALSE),"-")</f>
        <v>0</v>
      </c>
      <c r="C11" s="144">
        <f>IFERROR(VLOOKUP($A11,Table2[],12,FALSE),"-")</f>
        <v>2.67</v>
      </c>
      <c r="D11" s="144">
        <f>IFERROR(VLOOKUP($A11,table3[],3,FALSE),"-")</f>
        <v>4.38</v>
      </c>
      <c r="E11" s="144">
        <f>IFERROR(VLOOKUP($A11,Table4[],12,FALSE),"-")</f>
        <v>2.64</v>
      </c>
      <c r="F11" s="144">
        <f>IFERROR(VLOOKUP($A11,table5[],3,FALSE),"-")</f>
        <v>5.61</v>
      </c>
      <c r="G11" s="144">
        <f>IFERROR(VLOOKUP($A11,table6[],3,FALSE),"-")</f>
        <v>1.99</v>
      </c>
      <c r="H11" s="144">
        <f>IFERROR(VLOOKUP($A11,table7[],3,FALSE),"-")</f>
        <v>3.07</v>
      </c>
      <c r="I11" s="144">
        <f>IFERROR(VLOOKUP($A11,table8[],3,FALSE),"-")</f>
        <v>0</v>
      </c>
      <c r="J11" s="144">
        <f>IFERROR(VLOOKUP($A11,table9[],3,FALSE),"-")</f>
        <v>0</v>
      </c>
      <c r="K11" s="144">
        <f>IFERROR(VLOOKUP($A11,table10[],3,FALSE),"-")</f>
        <v>0</v>
      </c>
      <c r="L11" s="114">
        <f>MAX(Table16[[#This Row],[Otay]:[San V]])</f>
        <v>5.61</v>
      </c>
    </row>
    <row r="12" spans="1:12" ht="15" x14ac:dyDescent="0.2">
      <c r="A12" s="122" t="s">
        <v>55</v>
      </c>
      <c r="B12" s="144" t="str">
        <f>IFERROR(VLOOKUP($A12,table1[],3,FALSE),"-")</f>
        <v>-</v>
      </c>
      <c r="C12" s="144" t="str">
        <f>IFERROR(VLOOKUP($A12,Table2[],12,FALSE),"-")</f>
        <v>-</v>
      </c>
      <c r="D12" s="144" t="str">
        <f>IFERROR(VLOOKUP($A12,table3[],3,FALSE),"-")</f>
        <v>-</v>
      </c>
      <c r="E12" s="144" t="str">
        <f>IFERROR(VLOOKUP($A12,Table4[],12,FALSE),"-")</f>
        <v>-</v>
      </c>
      <c r="F12" s="144">
        <f>IFERROR(VLOOKUP($A12,table5[],3,FALSE),"-")</f>
        <v>0</v>
      </c>
      <c r="G12" s="144">
        <f>IFERROR(VLOOKUP($A12,table6[],3,FALSE),"-")</f>
        <v>5.58</v>
      </c>
      <c r="H12" s="144">
        <f>IFERROR(VLOOKUP($A12,table7[],3,FALSE),"-")</f>
        <v>0</v>
      </c>
      <c r="I12" s="144" t="str">
        <f>IFERROR(VLOOKUP($A12,table8[],3,FALSE),"-")</f>
        <v>-</v>
      </c>
      <c r="J12" s="144" t="str">
        <f>IFERROR(VLOOKUP($A12,table9[],3,FALSE),"-")</f>
        <v>-</v>
      </c>
      <c r="K12" s="144" t="str">
        <f>IFERROR(VLOOKUP($A12,table10[],3,FALSE),"-")</f>
        <v>-</v>
      </c>
      <c r="L12" s="114">
        <f>MAX(Table16[[#This Row],[Otay]:[San V]])</f>
        <v>5.58</v>
      </c>
    </row>
    <row r="13" spans="1:12" ht="15" x14ac:dyDescent="0.2">
      <c r="A13" s="28" t="s">
        <v>35</v>
      </c>
      <c r="B13" s="144">
        <f>IFERROR(VLOOKUP($A13,table1[],3,FALSE),"-")</f>
        <v>2.94</v>
      </c>
      <c r="C13" s="144" t="str">
        <f>IFERROR(VLOOKUP($A13,Table2[],12,FALSE),"-")</f>
        <v>-</v>
      </c>
      <c r="D13" s="144">
        <f>IFERROR(VLOOKUP($A13,table3[],3,FALSE),"-")</f>
        <v>4.01</v>
      </c>
      <c r="E13" s="144" t="str">
        <f>IFERROR(VLOOKUP($A13,Table4[],12,FALSE),"-")</f>
        <v>-</v>
      </c>
      <c r="F13" s="144">
        <f>IFERROR(VLOOKUP($A13,table5[],3,FALSE),"-")</f>
        <v>3.75</v>
      </c>
      <c r="G13" s="144">
        <f>IFERROR(VLOOKUP($A13,table6[],3,FALSE),"-")</f>
        <v>2.88</v>
      </c>
      <c r="H13" s="144">
        <f>IFERROR(VLOOKUP($A13,table7[],3,FALSE),"-")</f>
        <v>5.57</v>
      </c>
      <c r="I13" s="144" t="str">
        <f>IFERROR(VLOOKUP($A13,table8[],3,FALSE),"-")</f>
        <v>-</v>
      </c>
      <c r="J13" s="144" t="str">
        <f>IFERROR(VLOOKUP($A13,table9[],3,FALSE),"-")</f>
        <v>-</v>
      </c>
      <c r="K13" s="144" t="str">
        <f>IFERROR(VLOOKUP($A13,table10[],3,FALSE),"-")</f>
        <v>-</v>
      </c>
      <c r="L13" s="114">
        <f>MAX(Table16[[#This Row],[Otay]:[San V]])</f>
        <v>5.57</v>
      </c>
    </row>
    <row r="14" spans="1:12" ht="15" x14ac:dyDescent="0.2">
      <c r="A14" s="28" t="s">
        <v>48</v>
      </c>
      <c r="B14" s="144">
        <f>IFERROR(VLOOKUP($A14,table1[],3,FALSE),"-")</f>
        <v>1.79</v>
      </c>
      <c r="C14" s="144">
        <f>IFERROR(VLOOKUP($A14,Table2[],12,FALSE),"-")</f>
        <v>0</v>
      </c>
      <c r="D14" s="144">
        <f>IFERROR(VLOOKUP($A14,table3[],3,FALSE),"-")</f>
        <v>3.52</v>
      </c>
      <c r="E14" s="144" t="str">
        <f>IFERROR(VLOOKUP($A14,Table4[],12,FALSE),"-")</f>
        <v>-</v>
      </c>
      <c r="F14" s="144">
        <f>IFERROR(VLOOKUP($A14,table5[],3,FALSE),"-")</f>
        <v>5.52</v>
      </c>
      <c r="G14" s="144">
        <f>IFERROR(VLOOKUP($A14,table6[],3,FALSE),"-")</f>
        <v>3.6</v>
      </c>
      <c r="H14" s="144">
        <f>IFERROR(VLOOKUP($A14,table7[],3,FALSE),"-")</f>
        <v>0</v>
      </c>
      <c r="I14" s="144">
        <f>IFERROR(VLOOKUP($A14,table8[],3,FALSE),"-")</f>
        <v>2.72</v>
      </c>
      <c r="J14" s="144">
        <f>IFERROR(VLOOKUP($A14,table9[],3,FALSE),"-")</f>
        <v>1.86</v>
      </c>
      <c r="K14" s="144">
        <f>IFERROR(VLOOKUP($A14,table10[],3,FALSE),"-")</f>
        <v>2.41</v>
      </c>
      <c r="L14" s="114">
        <f>MAX(Table16[[#This Row],[Otay]:[San V]])</f>
        <v>5.52</v>
      </c>
    </row>
    <row r="15" spans="1:12" ht="15" x14ac:dyDescent="0.2">
      <c r="A15" s="28" t="s">
        <v>141</v>
      </c>
      <c r="B15" s="144">
        <f>IFERROR(VLOOKUP($A15,table1[],3,FALSE),"-")</f>
        <v>0</v>
      </c>
      <c r="C15" s="144" t="str">
        <f>IFERROR(VLOOKUP($A15,Table2[],12,FALSE),"-")</f>
        <v>-</v>
      </c>
      <c r="D15" s="144">
        <f>IFERROR(VLOOKUP($A15,table3[],3,FALSE),"-")</f>
        <v>0</v>
      </c>
      <c r="E15" s="144">
        <f>IFERROR(VLOOKUP($A15,Table4[],12,FALSE),"-")</f>
        <v>3.29</v>
      </c>
      <c r="F15" s="144">
        <f>IFERROR(VLOOKUP($A15,table5[],3,FALSE),"-")</f>
        <v>4.91</v>
      </c>
      <c r="G15" s="144">
        <f>IFERROR(VLOOKUP($A15,table6[],3,FALSE),"-")</f>
        <v>3.03</v>
      </c>
      <c r="H15" s="144">
        <f>IFERROR(VLOOKUP($A15,table7[],3,FALSE),"-")</f>
        <v>5.1100000000000003</v>
      </c>
      <c r="I15" s="144" t="str">
        <f>IFERROR(VLOOKUP($A15,table8[],3,FALSE),"-")</f>
        <v>-</v>
      </c>
      <c r="J15" s="144" t="str">
        <f>IFERROR(VLOOKUP($A15,table9[],3,FALSE),"-")</f>
        <v>-</v>
      </c>
      <c r="K15" s="144" t="str">
        <f>IFERROR(VLOOKUP($A15,table10[],3,FALSE),"-")</f>
        <v>-</v>
      </c>
      <c r="L15" s="114">
        <f>MAX(Table16[[#This Row],[Otay]:[San V]])</f>
        <v>5.1100000000000003</v>
      </c>
    </row>
    <row r="16" spans="1:12" ht="15" x14ac:dyDescent="0.2">
      <c r="A16" s="28" t="s">
        <v>84</v>
      </c>
      <c r="B16" s="144">
        <f>IFERROR(VLOOKUP($A16,table1[],3,FALSE),"-")</f>
        <v>2.16</v>
      </c>
      <c r="C16" s="144">
        <f>IFERROR(VLOOKUP($A16,Table2[],12,FALSE),"-")</f>
        <v>3.13</v>
      </c>
      <c r="D16" s="144">
        <f>IFERROR(VLOOKUP($A16,table3[],3,FALSE),"-")</f>
        <v>3.3</v>
      </c>
      <c r="E16" s="144">
        <f>IFERROR(VLOOKUP($A16,Table4[],12,FALSE),"-")</f>
        <v>4.51</v>
      </c>
      <c r="F16" s="144">
        <f>IFERROR(VLOOKUP($A16,table5[],3,FALSE),"-")</f>
        <v>2.56</v>
      </c>
      <c r="G16" s="144">
        <f>IFERROR(VLOOKUP($A16,table6[],3,FALSE),"-")</f>
        <v>2.38</v>
      </c>
      <c r="H16" s="144">
        <f>IFERROR(VLOOKUP($A16,table7[],3,FALSE),"-")</f>
        <v>4.18</v>
      </c>
      <c r="I16" s="144">
        <f>IFERROR(VLOOKUP($A16,table8[],3,FALSE),"-")</f>
        <v>3.67</v>
      </c>
      <c r="J16" s="144">
        <f>IFERROR(VLOOKUP($A16,table9[],3,FALSE),"-")</f>
        <v>3.36</v>
      </c>
      <c r="K16" s="144">
        <f>IFERROR(VLOOKUP($A16,table10[],3,FALSE),"-")</f>
        <v>2.36</v>
      </c>
      <c r="L16" s="114">
        <f>MAX(Table16[[#This Row],[Otay]:[San V]])</f>
        <v>4.51</v>
      </c>
    </row>
    <row r="17" spans="1:12" ht="15" x14ac:dyDescent="0.2">
      <c r="A17" s="28" t="s">
        <v>53</v>
      </c>
      <c r="B17" s="144">
        <f>IFERROR(VLOOKUP($A17,table1[],3,FALSE),"-")</f>
        <v>4.4800000000000004</v>
      </c>
      <c r="C17" s="144" t="str">
        <f>IFERROR(VLOOKUP($A17,Table2[],12,FALSE),"-")</f>
        <v>-</v>
      </c>
      <c r="D17" s="144">
        <f>IFERROR(VLOOKUP($A17,table3[],3,FALSE),"-")</f>
        <v>3.85</v>
      </c>
      <c r="E17" s="144" t="str">
        <f>IFERROR(VLOOKUP($A17,Table4[],12,FALSE),"-")</f>
        <v>-</v>
      </c>
      <c r="F17" s="144" t="str">
        <f>IFERROR(VLOOKUP($A17,table5[],3,FALSE),"-")</f>
        <v>-</v>
      </c>
      <c r="G17" s="144" t="str">
        <f>IFERROR(VLOOKUP($A17,table6[],3,FALSE),"-")</f>
        <v>-</v>
      </c>
      <c r="H17" s="144" t="str">
        <f>IFERROR(VLOOKUP($A17,table7[],3,FALSE),"-")</f>
        <v>-</v>
      </c>
      <c r="I17" s="144" t="str">
        <f>IFERROR(VLOOKUP($A17,table8[],3,FALSE),"-")</f>
        <v>-</v>
      </c>
      <c r="J17" s="144" t="str">
        <f>IFERROR(VLOOKUP($A17,table9[],3,FALSE),"-")</f>
        <v>-</v>
      </c>
      <c r="K17" s="144" t="str">
        <f>IFERROR(VLOOKUP($A17,table10[],3,FALSE),"-")</f>
        <v>-</v>
      </c>
      <c r="L17" s="114">
        <f>MAX(Table16[[#This Row],[Otay]:[San V]])</f>
        <v>4.4800000000000004</v>
      </c>
    </row>
    <row r="18" spans="1:12" ht="15" x14ac:dyDescent="0.2">
      <c r="A18" s="28" t="s">
        <v>112</v>
      </c>
      <c r="B18" s="144">
        <f>IFERROR(VLOOKUP($A18,table1[],3,FALSE),"-")</f>
        <v>2.41</v>
      </c>
      <c r="C18" s="144">
        <f>IFERROR(VLOOKUP($A18,Table2[],12,FALSE),"-")</f>
        <v>3.78</v>
      </c>
      <c r="D18" s="144">
        <f>IFERROR(VLOOKUP($A18,table3[],3,FALSE),"-")</f>
        <v>2.5299999999999998</v>
      </c>
      <c r="E18" s="144">
        <f>IFERROR(VLOOKUP($A18,Table4[],12,FALSE),"-")</f>
        <v>3.25</v>
      </c>
      <c r="F18" s="144">
        <f>IFERROR(VLOOKUP($A18,table5[],3,FALSE),"-")</f>
        <v>0</v>
      </c>
      <c r="G18" s="144" t="str">
        <f>IFERROR(VLOOKUP($A18,table6[],3,FALSE),"-")</f>
        <v>-</v>
      </c>
      <c r="H18" s="144">
        <f>IFERROR(VLOOKUP($A18,table7[],3,FALSE),"-")</f>
        <v>4.3600000000000003</v>
      </c>
      <c r="I18" s="144">
        <f>IFERROR(VLOOKUP($A18,table8[],3,FALSE),"-")</f>
        <v>4.41</v>
      </c>
      <c r="J18" s="144">
        <f>IFERROR(VLOOKUP($A18,table9[],3,FALSE),"-")</f>
        <v>2.82</v>
      </c>
      <c r="K18" s="144">
        <f>IFERROR(VLOOKUP($A18,table10[],3,FALSE),"-")</f>
        <v>2.66</v>
      </c>
      <c r="L18" s="114">
        <f>MAX(Table16[[#This Row],[Otay]:[San V]])</f>
        <v>4.41</v>
      </c>
    </row>
    <row r="19" spans="1:12" ht="15" x14ac:dyDescent="0.2">
      <c r="A19" s="28" t="s">
        <v>97</v>
      </c>
      <c r="B19" s="144">
        <f>IFERROR(VLOOKUP($A19,table1[],3,FALSE),"-")</f>
        <v>4.37</v>
      </c>
      <c r="C19" s="144">
        <f>IFERROR(VLOOKUP($A19,Table2[],12,FALSE),"-")</f>
        <v>0</v>
      </c>
      <c r="D19" s="144">
        <f>IFERROR(VLOOKUP($A19,table3[],3,FALSE),"-")</f>
        <v>2.7</v>
      </c>
      <c r="E19" s="144">
        <f>IFERROR(VLOOKUP($A19,Table4[],12,FALSE),"-")</f>
        <v>2.96</v>
      </c>
      <c r="F19" s="144">
        <f>IFERROR(VLOOKUP($A19,table5[],3,FALSE),"-")</f>
        <v>1.62</v>
      </c>
      <c r="G19" s="144" t="str">
        <f>IFERROR(VLOOKUP($A19,table6[],3,FALSE),"-")</f>
        <v>-</v>
      </c>
      <c r="H19" s="144" t="str">
        <f>IFERROR(VLOOKUP($A19,table7[],3,FALSE),"-")</f>
        <v>-</v>
      </c>
      <c r="I19" s="144" t="str">
        <f>IFERROR(VLOOKUP($A19,table8[],3,FALSE),"-")</f>
        <v>-</v>
      </c>
      <c r="J19" s="144" t="str">
        <f>IFERROR(VLOOKUP($A19,table9[],3,FALSE),"-")</f>
        <v>-</v>
      </c>
      <c r="K19" s="144" t="str">
        <f>IFERROR(VLOOKUP($A19,table10[],3,FALSE),"-")</f>
        <v>-</v>
      </c>
      <c r="L19" s="114">
        <f>MAX(Table16[[#This Row],[Otay]:[San V]])</f>
        <v>4.37</v>
      </c>
    </row>
    <row r="20" spans="1:12" ht="15" x14ac:dyDescent="0.2">
      <c r="A20" s="122" t="s">
        <v>168</v>
      </c>
      <c r="B20" s="144">
        <f>IFERROR(VLOOKUP($A20,table1[],3,FALSE),"-")</f>
        <v>2.97</v>
      </c>
      <c r="C20" s="144">
        <f>IFERROR(VLOOKUP($A20,Table2[],12,FALSE),"-")</f>
        <v>4.13</v>
      </c>
      <c r="D20" s="144">
        <f>IFERROR(VLOOKUP($A20,table3[],3,FALSE),"-")</f>
        <v>2.85</v>
      </c>
      <c r="E20" s="144">
        <f>IFERROR(VLOOKUP($A20,Table4[],12,FALSE),"-")</f>
        <v>4.3099999999999996</v>
      </c>
      <c r="F20" s="144">
        <f>IFERROR(VLOOKUP($A20,table5[],3,FALSE),"-")</f>
        <v>3.85</v>
      </c>
      <c r="G20" s="144">
        <f>IFERROR(VLOOKUP($A20,table6[],3,FALSE),"-")</f>
        <v>2.13</v>
      </c>
      <c r="H20" s="144">
        <f>IFERROR(VLOOKUP($A20,table7[],3,FALSE),"-")</f>
        <v>3.58</v>
      </c>
      <c r="I20" s="144">
        <f>IFERROR(VLOOKUP($A20,table8[],3,FALSE),"-")</f>
        <v>3.69</v>
      </c>
      <c r="J20" s="144">
        <f>IFERROR(VLOOKUP($A20,table9[],3,FALSE),"-")</f>
        <v>3.48</v>
      </c>
      <c r="K20" s="144">
        <f>IFERROR(VLOOKUP($A20,table10[],3,FALSE),"-")</f>
        <v>2</v>
      </c>
      <c r="L20" s="114">
        <f>MAX(Table16[[#This Row],[Otay]:[San V]])</f>
        <v>4.3099999999999996</v>
      </c>
    </row>
    <row r="21" spans="1:12" ht="15" x14ac:dyDescent="0.2">
      <c r="A21" s="54" t="s">
        <v>67</v>
      </c>
      <c r="B21" s="144" t="str">
        <f>IFERROR(VLOOKUP($A21,table1[],3,FALSE),"-")</f>
        <v>-</v>
      </c>
      <c r="C21" s="144" t="str">
        <f>IFERROR(VLOOKUP($A21,Table2[],12,FALSE),"-")</f>
        <v>-</v>
      </c>
      <c r="D21" s="144" t="str">
        <f>IFERROR(VLOOKUP($A21,table3[],3,FALSE),"-")</f>
        <v>-</v>
      </c>
      <c r="E21" s="144">
        <f>IFERROR(VLOOKUP($A21,Table4[],12,FALSE),"-")</f>
        <v>0</v>
      </c>
      <c r="F21" s="144" t="str">
        <f>IFERROR(VLOOKUP($A21,table5[],3,FALSE),"-")</f>
        <v>-</v>
      </c>
      <c r="G21" s="144">
        <f>IFERROR(VLOOKUP($A21,table6[],3,FALSE),"-")</f>
        <v>3.3</v>
      </c>
      <c r="H21" s="144">
        <f>IFERROR(VLOOKUP($A21,table7[],3,FALSE),"-")</f>
        <v>4.21</v>
      </c>
      <c r="I21" s="144" t="str">
        <f>IFERROR(VLOOKUP($A21,table8[],3,FALSE),"-")</f>
        <v>-</v>
      </c>
      <c r="J21" s="144">
        <f>IFERROR(VLOOKUP($A21,table9[],3,FALSE),"-")</f>
        <v>3.62</v>
      </c>
      <c r="K21" s="144" t="str">
        <f>IFERROR(VLOOKUP($A21,table10[],3,FALSE),"-")</f>
        <v>-</v>
      </c>
      <c r="L21" s="114">
        <f>MAX(Table16[[#This Row],[Otay]:[San V]])</f>
        <v>4.21</v>
      </c>
    </row>
    <row r="22" spans="1:12" ht="15" x14ac:dyDescent="0.2">
      <c r="A22" s="28" t="s">
        <v>77</v>
      </c>
      <c r="B22" s="144">
        <f>IFERROR(VLOOKUP($A22,table1[],3,FALSE),"-")</f>
        <v>2.2599999999999998</v>
      </c>
      <c r="C22" s="144">
        <f>IFERROR(VLOOKUP($A22,Table2[],12,FALSE),"-")</f>
        <v>4.1500000000000004</v>
      </c>
      <c r="D22" s="144">
        <f>IFERROR(VLOOKUP($A22,table3[],3,FALSE),"-")</f>
        <v>2.06</v>
      </c>
      <c r="E22" s="144" t="str">
        <f>IFERROR(VLOOKUP($A22,Table4[],12,FALSE),"-")</f>
        <v>-</v>
      </c>
      <c r="F22" s="144" t="str">
        <f>IFERROR(VLOOKUP($A22,table5[],3,FALSE),"-")</f>
        <v>-</v>
      </c>
      <c r="G22" s="144" t="str">
        <f>IFERROR(VLOOKUP($A22,table6[],3,FALSE),"-")</f>
        <v>-</v>
      </c>
      <c r="H22" s="144" t="str">
        <f>IFERROR(VLOOKUP($A22,table7[],3,FALSE),"-")</f>
        <v>-</v>
      </c>
      <c r="I22" s="144" t="str">
        <f>IFERROR(VLOOKUP($A22,table8[],3,FALSE),"-")</f>
        <v>-</v>
      </c>
      <c r="J22" s="144" t="str">
        <f>IFERROR(VLOOKUP($A22,table9[],3,FALSE),"-")</f>
        <v>-</v>
      </c>
      <c r="K22" s="144" t="str">
        <f>IFERROR(VLOOKUP($A22,table10[],3,FALSE),"-")</f>
        <v>-</v>
      </c>
      <c r="L22" s="114">
        <f>MAX(Table16[[#This Row],[Otay]:[San V]])</f>
        <v>4.1500000000000004</v>
      </c>
    </row>
    <row r="23" spans="1:12" ht="15" x14ac:dyDescent="0.2">
      <c r="A23" s="28" t="s">
        <v>180</v>
      </c>
      <c r="B23" s="144">
        <f>IFERROR(VLOOKUP($A23,table1[],3,FALSE),"-")</f>
        <v>2.44</v>
      </c>
      <c r="C23" s="144">
        <f>IFERROR(VLOOKUP($A23,Table2[],12,FALSE),"-")</f>
        <v>1.63</v>
      </c>
      <c r="D23" s="144">
        <f>IFERROR(VLOOKUP($A23,table3[],3,FALSE),"-")</f>
        <v>3.11</v>
      </c>
      <c r="E23" s="144">
        <f>IFERROR(VLOOKUP($A23,Table4[],12,FALSE),"-")</f>
        <v>2.64</v>
      </c>
      <c r="F23" s="144">
        <f>IFERROR(VLOOKUP($A23,table5[],3,FALSE),"-")</f>
        <v>0</v>
      </c>
      <c r="G23" s="144">
        <f>IFERROR(VLOOKUP($A23,table6[],3,FALSE),"-")</f>
        <v>4.1500000000000004</v>
      </c>
      <c r="H23" s="144">
        <f>IFERROR(VLOOKUP($A23,table7[],3,FALSE),"-")</f>
        <v>2.91</v>
      </c>
      <c r="I23" s="144">
        <f>IFERROR(VLOOKUP($A23,table8[],3,FALSE),"-")</f>
        <v>2.36</v>
      </c>
      <c r="J23" s="144">
        <f>IFERROR(VLOOKUP($A23,table9[],3,FALSE),"-")</f>
        <v>1.87</v>
      </c>
      <c r="K23" s="144" t="str">
        <f>IFERROR(VLOOKUP($A23,table10[],3,FALSE),"-")</f>
        <v>-</v>
      </c>
      <c r="L23" s="114">
        <f>MAX(Table16[[#This Row],[Otay]:[San V]])</f>
        <v>4.1500000000000004</v>
      </c>
    </row>
    <row r="24" spans="1:12" ht="15" x14ac:dyDescent="0.2">
      <c r="A24" s="28" t="s">
        <v>138</v>
      </c>
      <c r="B24" s="144">
        <f>IFERROR(VLOOKUP($A24,table1[],3,FALSE),"-")</f>
        <v>1.62</v>
      </c>
      <c r="C24" s="144">
        <f>IFERROR(VLOOKUP($A24,Table2[],12,FALSE),"-")</f>
        <v>4.04</v>
      </c>
      <c r="D24" s="144">
        <f>IFERROR(VLOOKUP($A24,table3[],3,FALSE),"-")</f>
        <v>2.2400000000000002</v>
      </c>
      <c r="E24" s="144">
        <f>IFERROR(VLOOKUP($A24,Table4[],12,FALSE),"-")</f>
        <v>4.12</v>
      </c>
      <c r="F24" s="144">
        <f>IFERROR(VLOOKUP($A24,table5[],3,FALSE),"-")</f>
        <v>3.17</v>
      </c>
      <c r="G24" s="144">
        <f>IFERROR(VLOOKUP($A24,table6[],3,FALSE),"-")</f>
        <v>3.41</v>
      </c>
      <c r="H24" s="144">
        <f>IFERROR(VLOOKUP($A24,table7[],3,FALSE),"-")</f>
        <v>3.45</v>
      </c>
      <c r="I24" s="144">
        <f>IFERROR(VLOOKUP($A24,table8[],3,FALSE),"-")</f>
        <v>4.01</v>
      </c>
      <c r="J24" s="144" t="str">
        <f>IFERROR(VLOOKUP($A24,table9[],3,FALSE),"-")</f>
        <v>-</v>
      </c>
      <c r="K24" s="144" t="str">
        <f>IFERROR(VLOOKUP($A24,table10[],3,FALSE),"-")</f>
        <v>-</v>
      </c>
      <c r="L24" s="114">
        <f>MAX(Table16[[#This Row],[Otay]:[San V]])</f>
        <v>4.12</v>
      </c>
    </row>
    <row r="25" spans="1:12" ht="15" x14ac:dyDescent="0.2">
      <c r="A25" s="28" t="s">
        <v>234</v>
      </c>
      <c r="B25" s="144">
        <f>IFERROR(VLOOKUP($A25,table1[],3,FALSE),"-")</f>
        <v>2.58</v>
      </c>
      <c r="C25" s="144" t="str">
        <f>IFERROR(VLOOKUP($A25,Table2[],12,FALSE),"-")</f>
        <v>-</v>
      </c>
      <c r="D25" s="144">
        <f>IFERROR(VLOOKUP($A25,table3[],3,FALSE),"-")</f>
        <v>2.09</v>
      </c>
      <c r="E25" s="144" t="str">
        <f>IFERROR(VLOOKUP($A25,Table4[],12,FALSE),"-")</f>
        <v>-</v>
      </c>
      <c r="F25" s="144" t="str">
        <f>IFERROR(VLOOKUP($A25,table5[],3,FALSE),"-")</f>
        <v>-</v>
      </c>
      <c r="G25" s="144">
        <f>IFERROR(VLOOKUP($A25,table6[],3,FALSE),"-")</f>
        <v>4.0599999999999996</v>
      </c>
      <c r="H25" s="144">
        <f>IFERROR(VLOOKUP($A25,table7[],3,FALSE),"-")</f>
        <v>3.42</v>
      </c>
      <c r="I25" s="144">
        <f>IFERROR(VLOOKUP($A25,table8[],3,FALSE),"-")</f>
        <v>2.4900000000000002</v>
      </c>
      <c r="J25" s="144" t="str">
        <f>IFERROR(VLOOKUP($A25,table9[],3,FALSE),"-")</f>
        <v>-</v>
      </c>
      <c r="K25" s="144" t="str">
        <f>IFERROR(VLOOKUP($A25,table10[],3,FALSE),"-")</f>
        <v>-</v>
      </c>
      <c r="L25" s="114">
        <f>MAX(Table16[[#This Row],[Otay]:[San V]])</f>
        <v>4.0599999999999996</v>
      </c>
    </row>
    <row r="26" spans="1:12" ht="15" x14ac:dyDescent="0.2">
      <c r="A26" s="28" t="s">
        <v>163</v>
      </c>
      <c r="B26" s="144">
        <f>IFERROR(VLOOKUP($A26,table1[],3,FALSE),"-")</f>
        <v>2.33</v>
      </c>
      <c r="C26" s="144">
        <f>IFERROR(VLOOKUP($A26,Table2[],12,FALSE),"-")</f>
        <v>4.0199999999999996</v>
      </c>
      <c r="D26" s="144">
        <f>IFERROR(VLOOKUP($A26,table3[],3,FALSE),"-")</f>
        <v>3.07</v>
      </c>
      <c r="E26" s="144">
        <f>IFERROR(VLOOKUP($A26,Table4[],12,FALSE),"-")</f>
        <v>2.83</v>
      </c>
      <c r="F26" s="144">
        <f>IFERROR(VLOOKUP($A26,table5[],3,FALSE),"-")</f>
        <v>4.04</v>
      </c>
      <c r="G26" s="144">
        <f>IFERROR(VLOOKUP($A26,table6[],3,FALSE),"-")</f>
        <v>1.9</v>
      </c>
      <c r="H26" s="144">
        <f>IFERROR(VLOOKUP($A26,table7[],3,FALSE),"-")</f>
        <v>3.56</v>
      </c>
      <c r="I26" s="144">
        <f>IFERROR(VLOOKUP($A26,table8[],3,FALSE),"-")</f>
        <v>3.05</v>
      </c>
      <c r="J26" s="144">
        <f>IFERROR(VLOOKUP($A26,table9[],3,FALSE),"-")</f>
        <v>2.0299999999999998</v>
      </c>
      <c r="K26" s="144">
        <f>IFERROR(VLOOKUP($A26,table10[],3,FALSE),"-")</f>
        <v>1.45</v>
      </c>
      <c r="L26" s="114">
        <f>MAX(Table16[[#This Row],[Otay]:[San V]])</f>
        <v>4.04</v>
      </c>
    </row>
    <row r="27" spans="1:12" ht="15" x14ac:dyDescent="0.2">
      <c r="A27" s="122" t="s">
        <v>98</v>
      </c>
      <c r="B27" s="144">
        <f>IFERROR(VLOOKUP($A27,table1[],3,FALSE),"-")</f>
        <v>2.31</v>
      </c>
      <c r="C27" s="144" t="str">
        <f>IFERROR(VLOOKUP($A27,Table2[],12,FALSE),"-")</f>
        <v>-</v>
      </c>
      <c r="D27" s="144" t="str">
        <f>IFERROR(VLOOKUP($A27,table3[],3,FALSE),"-")</f>
        <v>-</v>
      </c>
      <c r="E27" s="144">
        <f>IFERROR(VLOOKUP($A27,Table4[],12,FALSE),"-")</f>
        <v>3.41</v>
      </c>
      <c r="F27" s="144">
        <f>IFERROR(VLOOKUP($A27,table5[],3,FALSE),"-")</f>
        <v>4.01</v>
      </c>
      <c r="G27" s="144" t="str">
        <f>IFERROR(VLOOKUP($A27,table6[],3,FALSE),"-")</f>
        <v>-</v>
      </c>
      <c r="H27" s="144" t="str">
        <f>IFERROR(VLOOKUP($A27,table7[],3,FALSE),"-")</f>
        <v>-</v>
      </c>
      <c r="I27" s="144" t="str">
        <f>IFERROR(VLOOKUP($A27,table8[],3,FALSE),"-")</f>
        <v>-</v>
      </c>
      <c r="J27" s="144" t="str">
        <f>IFERROR(VLOOKUP($A27,table9[],3,FALSE),"-")</f>
        <v>-</v>
      </c>
      <c r="K27" s="144" t="str">
        <f>IFERROR(VLOOKUP($A27,table10[],3,FALSE),"-")</f>
        <v>-</v>
      </c>
      <c r="L27" s="114">
        <f>MAX(Table16[[#This Row],[Otay]:[San V]])</f>
        <v>4.01</v>
      </c>
    </row>
    <row r="28" spans="1:12" ht="15" x14ac:dyDescent="0.2">
      <c r="A28" s="122" t="s">
        <v>227</v>
      </c>
      <c r="B28" s="144">
        <f>IFERROR(VLOOKUP($A28,table1[],3,FALSE),"-")</f>
        <v>2.65</v>
      </c>
      <c r="C28" s="144">
        <f>IFERROR(VLOOKUP($A28,Table2[],12,FALSE),"-")</f>
        <v>3.99</v>
      </c>
      <c r="D28" s="144">
        <f>IFERROR(VLOOKUP($A28,table3[],3,FALSE),"-")</f>
        <v>1.82</v>
      </c>
      <c r="E28" s="144">
        <f>IFERROR(VLOOKUP($A28,Table4[],12,FALSE),"-")</f>
        <v>0</v>
      </c>
      <c r="F28" s="144" t="str">
        <f>IFERROR(VLOOKUP($A28,table5[],3,FALSE),"-")</f>
        <v>-</v>
      </c>
      <c r="G28" s="144" t="str">
        <f>IFERROR(VLOOKUP($A28,table6[],3,FALSE),"-")</f>
        <v>-</v>
      </c>
      <c r="H28" s="144" t="str">
        <f>IFERROR(VLOOKUP($A28,table7[],3,FALSE),"-")</f>
        <v>-</v>
      </c>
      <c r="I28" s="144" t="str">
        <f>IFERROR(VLOOKUP($A28,table8[],3,FALSE),"-")</f>
        <v>-</v>
      </c>
      <c r="J28" s="144" t="str">
        <f>IFERROR(VLOOKUP($A28,table9[],3,FALSE),"-")</f>
        <v>-</v>
      </c>
      <c r="K28" s="144">
        <f>IFERROR(VLOOKUP($A28,table10[],3,FALSE),"-")</f>
        <v>2.06</v>
      </c>
      <c r="L28" s="114">
        <f>MAX(Table16[[#This Row],[Otay]:[San V]])</f>
        <v>3.99</v>
      </c>
    </row>
    <row r="29" spans="1:12" ht="15" x14ac:dyDescent="0.2">
      <c r="A29" s="28" t="s">
        <v>266</v>
      </c>
      <c r="B29" s="144" t="str">
        <f>IFERROR(VLOOKUP($A29,table1[],3,FALSE),"-")</f>
        <v>-</v>
      </c>
      <c r="C29" s="144" t="str">
        <f>IFERROR(VLOOKUP($A29,Table2[],12,FALSE),"-")</f>
        <v>-</v>
      </c>
      <c r="D29" s="144" t="str">
        <f>IFERROR(VLOOKUP($A29,table3[],3,FALSE),"-")</f>
        <v>-</v>
      </c>
      <c r="E29" s="144">
        <f>IFERROR(VLOOKUP($A29,Table4[],12,FALSE),"-")</f>
        <v>2.61</v>
      </c>
      <c r="F29" s="144">
        <f>IFERROR(VLOOKUP($A29,table5[],3,FALSE),"-")</f>
        <v>3.84</v>
      </c>
      <c r="G29" s="144">
        <f>IFERROR(VLOOKUP($A29,table6[],3,FALSE),"-")</f>
        <v>1.89</v>
      </c>
      <c r="H29" s="144">
        <f>IFERROR(VLOOKUP($A29,table7[],3,FALSE),"-")</f>
        <v>3.62</v>
      </c>
      <c r="I29" s="144">
        <f>IFERROR(VLOOKUP($A29,table8[],3,FALSE),"-")</f>
        <v>2.79</v>
      </c>
      <c r="J29" s="144" t="str">
        <f>IFERROR(VLOOKUP($A29,table9[],3,FALSE),"-")</f>
        <v>-</v>
      </c>
      <c r="K29" s="144">
        <f>IFERROR(VLOOKUP($A29,table10[],3,FALSE),"-")</f>
        <v>1.54</v>
      </c>
      <c r="L29" s="114">
        <f>MAX(Table16[[#This Row],[Otay]:[San V]])</f>
        <v>3.84</v>
      </c>
    </row>
    <row r="30" spans="1:12" ht="15" x14ac:dyDescent="0.2">
      <c r="A30" s="122" t="s">
        <v>31</v>
      </c>
      <c r="B30" s="144">
        <f>IFERROR(VLOOKUP($A30,table1[],3,FALSE),"-")</f>
        <v>0</v>
      </c>
      <c r="C30" s="144">
        <f>IFERROR(VLOOKUP($A30,Table2[],12,FALSE),"-")</f>
        <v>3.65</v>
      </c>
      <c r="D30" s="144">
        <f>IFERROR(VLOOKUP($A30,table3[],3,FALSE),"-")</f>
        <v>1.94</v>
      </c>
      <c r="E30" s="144">
        <f>IFERROR(VLOOKUP($A30,Table4[],12,FALSE),"-")</f>
        <v>3.79</v>
      </c>
      <c r="F30" s="144">
        <f>IFERROR(VLOOKUP($A30,table5[],3,FALSE),"-")</f>
        <v>2.99</v>
      </c>
      <c r="G30" s="144">
        <f>IFERROR(VLOOKUP($A30,table6[],3,FALSE),"-")</f>
        <v>2.2200000000000002</v>
      </c>
      <c r="H30" s="144">
        <f>IFERROR(VLOOKUP($A30,table7[],3,FALSE),"-")</f>
        <v>2.56</v>
      </c>
      <c r="I30" s="144">
        <f>IFERROR(VLOOKUP($A30,table8[],3,FALSE),"-")</f>
        <v>1.64</v>
      </c>
      <c r="J30" s="144">
        <f>IFERROR(VLOOKUP($A30,table9[],3,FALSE),"-")</f>
        <v>0</v>
      </c>
      <c r="K30" s="144">
        <f>IFERROR(VLOOKUP($A30,table10[],3,FALSE),"-")</f>
        <v>1.25</v>
      </c>
      <c r="L30" s="114">
        <f>MAX(Table16[[#This Row],[Otay]:[San V]])</f>
        <v>3.79</v>
      </c>
    </row>
    <row r="31" spans="1:12" ht="15" x14ac:dyDescent="0.2">
      <c r="A31" s="28" t="s">
        <v>263</v>
      </c>
      <c r="B31" s="144">
        <f>IFERROR(VLOOKUP($A31,table1[],3,FALSE),"-")</f>
        <v>3.7</v>
      </c>
      <c r="C31" s="144" t="str">
        <f>IFERROR(VLOOKUP($A31,Table2[],12,FALSE),"-")</f>
        <v>-</v>
      </c>
      <c r="D31" s="144" t="str">
        <f>IFERROR(VLOOKUP($A31,table3[],3,FALSE),"-")</f>
        <v>-</v>
      </c>
      <c r="E31" s="144" t="str">
        <f>IFERROR(VLOOKUP($A31,Table4[],12,FALSE),"-")</f>
        <v>-</v>
      </c>
      <c r="F31" s="144" t="str">
        <f>IFERROR(VLOOKUP($A31,table5[],3,FALSE),"-")</f>
        <v>-</v>
      </c>
      <c r="G31" s="144">
        <f>IFERROR(VLOOKUP($A31,table6[],3,FALSE),"-")</f>
        <v>0</v>
      </c>
      <c r="H31" s="144">
        <f>IFERROR(VLOOKUP($A31,table7[],3,FALSE),"-")</f>
        <v>1.69</v>
      </c>
      <c r="I31" s="144">
        <f>IFERROR(VLOOKUP($A31,table8[],3,FALSE),"-")</f>
        <v>0</v>
      </c>
      <c r="J31" s="144" t="str">
        <f>IFERROR(VLOOKUP($A31,table9[],3,FALSE),"-")</f>
        <v>-</v>
      </c>
      <c r="K31" s="144" t="str">
        <f>IFERROR(VLOOKUP($A31,table10[],3,FALSE),"-")</f>
        <v>-</v>
      </c>
      <c r="L31" s="114">
        <f>MAX(Table16[[#This Row],[Otay]:[San V]])</f>
        <v>3.7</v>
      </c>
    </row>
    <row r="32" spans="1:12" ht="15" x14ac:dyDescent="0.2">
      <c r="A32" s="28" t="s">
        <v>229</v>
      </c>
      <c r="B32" s="144">
        <f>IFERROR(VLOOKUP($A32,table1[],3,FALSE),"-")</f>
        <v>2.17</v>
      </c>
      <c r="C32" s="144">
        <f>IFERROR(VLOOKUP($A32,Table2[],12,FALSE),"-")</f>
        <v>3.34</v>
      </c>
      <c r="D32" s="144">
        <f>IFERROR(VLOOKUP($A32,table3[],3,FALSE),"-")</f>
        <v>3.56</v>
      </c>
      <c r="E32" s="144">
        <f>IFERROR(VLOOKUP($A32,Table4[],12,FALSE),"-")</f>
        <v>2.87</v>
      </c>
      <c r="F32" s="144">
        <f>IFERROR(VLOOKUP($A32,table5[],3,FALSE),"-")</f>
        <v>2.5499999999999998</v>
      </c>
      <c r="G32" s="144">
        <f>IFERROR(VLOOKUP($A32,table6[],3,FALSE),"-")</f>
        <v>2.06</v>
      </c>
      <c r="H32" s="144">
        <f>IFERROR(VLOOKUP($A32,table7[],3,FALSE),"-")</f>
        <v>3.21</v>
      </c>
      <c r="I32" s="144">
        <f>IFERROR(VLOOKUP($A32,table8[],3,FALSE),"-")</f>
        <v>3.69</v>
      </c>
      <c r="J32" s="144">
        <f>IFERROR(VLOOKUP($A32,table9[],3,FALSE),"-")</f>
        <v>0</v>
      </c>
      <c r="K32" s="144">
        <f>IFERROR(VLOOKUP($A32,table10[],3,FALSE),"-")</f>
        <v>1.74</v>
      </c>
      <c r="L32" s="114">
        <f>MAX(Table16[[#This Row],[Otay]:[San V]])</f>
        <v>3.69</v>
      </c>
    </row>
    <row r="33" spans="1:12" ht="15" x14ac:dyDescent="0.2">
      <c r="A33" s="28" t="s">
        <v>49</v>
      </c>
      <c r="B33" s="144">
        <f>IFERROR(VLOOKUP($A33,table1[],3,FALSE),"-")</f>
        <v>1.93</v>
      </c>
      <c r="C33" s="144" t="str">
        <f>IFERROR(VLOOKUP($A33,Table2[],12,FALSE),"-")</f>
        <v>-</v>
      </c>
      <c r="D33" s="144">
        <f>IFERROR(VLOOKUP($A33,table3[],3,FALSE),"-")</f>
        <v>1.74</v>
      </c>
      <c r="E33" s="144" t="str">
        <f>IFERROR(VLOOKUP($A33,Table4[],12,FALSE),"-")</f>
        <v>-</v>
      </c>
      <c r="F33" s="144" t="str">
        <f>IFERROR(VLOOKUP($A33,table5[],3,FALSE),"-")</f>
        <v>-</v>
      </c>
      <c r="G33" s="144" t="str">
        <f>IFERROR(VLOOKUP($A33,table6[],3,FALSE),"-")</f>
        <v>-</v>
      </c>
      <c r="H33" s="144">
        <f>IFERROR(VLOOKUP($A33,table7[],3,FALSE),"-")</f>
        <v>3.58</v>
      </c>
      <c r="I33" s="144" t="str">
        <f>IFERROR(VLOOKUP($A33,table8[],3,FALSE),"-")</f>
        <v>-</v>
      </c>
      <c r="J33" s="144" t="str">
        <f>IFERROR(VLOOKUP($A33,table9[],3,FALSE),"-")</f>
        <v>-</v>
      </c>
      <c r="K33" s="144" t="str">
        <f>IFERROR(VLOOKUP($A33,table10[],3,FALSE),"-")</f>
        <v>-</v>
      </c>
      <c r="L33" s="114">
        <f>MAX(Table16[[#This Row],[Otay]:[San V]])</f>
        <v>3.58</v>
      </c>
    </row>
    <row r="34" spans="1:12" ht="15" x14ac:dyDescent="0.2">
      <c r="A34" s="28" t="s">
        <v>56</v>
      </c>
      <c r="B34" s="144">
        <f>IFERROR(VLOOKUP($A34,table1[],3,FALSE),"-")</f>
        <v>1.8</v>
      </c>
      <c r="C34" s="144">
        <f>IFERROR(VLOOKUP($A34,Table2[],12,FALSE),"-")</f>
        <v>0</v>
      </c>
      <c r="D34" s="144">
        <f>IFERROR(VLOOKUP($A34,table3[],3,FALSE),"-")</f>
        <v>2.0699999999999998</v>
      </c>
      <c r="E34" s="144">
        <f>IFERROR(VLOOKUP($A34,Table4[],12,FALSE),"-")</f>
        <v>3.47</v>
      </c>
      <c r="F34" s="144">
        <f>IFERROR(VLOOKUP($A34,table5[],3,FALSE),"-")</f>
        <v>1.82</v>
      </c>
      <c r="G34" s="144">
        <f>IFERROR(VLOOKUP($A34,table6[],3,FALSE),"-")</f>
        <v>2.08</v>
      </c>
      <c r="H34" s="144">
        <f>IFERROR(VLOOKUP($A34,table7[],3,FALSE),"-")</f>
        <v>2.92</v>
      </c>
      <c r="I34" s="144">
        <f>IFERROR(VLOOKUP($A34,table8[],3,FALSE),"-")</f>
        <v>3.38</v>
      </c>
      <c r="J34" s="144">
        <f>IFERROR(VLOOKUP($A34,table9[],3,FALSE),"-")</f>
        <v>2.8</v>
      </c>
      <c r="K34" s="144">
        <f>IFERROR(VLOOKUP($A34,table10[],3,FALSE),"-")</f>
        <v>2.0299999999999998</v>
      </c>
      <c r="L34" s="114">
        <f>MAX(Table16[[#This Row],[Otay]:[San V]])</f>
        <v>3.47</v>
      </c>
    </row>
    <row r="35" spans="1:12" ht="15" x14ac:dyDescent="0.2">
      <c r="A35" s="28" t="s">
        <v>267</v>
      </c>
      <c r="B35" s="144" t="str">
        <f>IFERROR(VLOOKUP($A35,table1[],3,FALSE),"-")</f>
        <v>-</v>
      </c>
      <c r="C35" s="144" t="str">
        <f>IFERROR(VLOOKUP($A35,Table2[],12,FALSE),"-")</f>
        <v>-</v>
      </c>
      <c r="D35" s="144" t="str">
        <f>IFERROR(VLOOKUP($A35,table3[],3,FALSE),"-")</f>
        <v>-</v>
      </c>
      <c r="E35" s="144" t="str">
        <f>IFERROR(VLOOKUP($A35,Table4[],12,FALSE),"-")</f>
        <v>-</v>
      </c>
      <c r="F35" s="144">
        <f>IFERROR(VLOOKUP($A35,table5[],3,FALSE),"-")</f>
        <v>3.45</v>
      </c>
      <c r="G35" s="144" t="str">
        <f>IFERROR(VLOOKUP($A35,table6[],3,FALSE),"-")</f>
        <v>-</v>
      </c>
      <c r="H35" s="144" t="str">
        <f>IFERROR(VLOOKUP($A35,table7[],3,FALSE),"-")</f>
        <v>-</v>
      </c>
      <c r="I35" s="144" t="str">
        <f>IFERROR(VLOOKUP($A35,table8[],3,FALSE),"-")</f>
        <v>-</v>
      </c>
      <c r="J35" s="144" t="str">
        <f>IFERROR(VLOOKUP($A35,table9[],3,FALSE),"-")</f>
        <v>-</v>
      </c>
      <c r="K35" s="144" t="str">
        <f>IFERROR(VLOOKUP($A35,table10[],3,FALSE),"-")</f>
        <v>-</v>
      </c>
      <c r="L35" s="114">
        <f>MAX(Table16[[#This Row],[Otay]:[San V]])</f>
        <v>3.45</v>
      </c>
    </row>
    <row r="36" spans="1:12" ht="15" x14ac:dyDescent="0.2">
      <c r="A36" s="28" t="s">
        <v>81</v>
      </c>
      <c r="B36" s="144">
        <f>IFERROR(VLOOKUP($A36,table1[],3,FALSE),"-")</f>
        <v>1.4</v>
      </c>
      <c r="C36" s="144">
        <f>IFERROR(VLOOKUP($A36,Table2[],12,FALSE),"-")</f>
        <v>3.42</v>
      </c>
      <c r="D36" s="144">
        <f>IFERROR(VLOOKUP($A36,table3[],3,FALSE),"-")</f>
        <v>1.95</v>
      </c>
      <c r="E36" s="144">
        <f>IFERROR(VLOOKUP($A36,Table4[],12,FALSE),"-")</f>
        <v>0</v>
      </c>
      <c r="F36" s="144" t="str">
        <f>IFERROR(VLOOKUP($A36,table5[],3,FALSE),"-")</f>
        <v>-</v>
      </c>
      <c r="G36" s="144" t="str">
        <f>IFERROR(VLOOKUP($A36,table6[],3,FALSE),"-")</f>
        <v>-</v>
      </c>
      <c r="H36" s="144" t="str">
        <f>IFERROR(VLOOKUP($A36,table7[],3,FALSE),"-")</f>
        <v>-</v>
      </c>
      <c r="I36" s="144" t="str">
        <f>IFERROR(VLOOKUP($A36,table8[],3,FALSE),"-")</f>
        <v>-</v>
      </c>
      <c r="J36" s="144" t="str">
        <f>IFERROR(VLOOKUP($A36,table9[],3,FALSE),"-")</f>
        <v>-</v>
      </c>
      <c r="K36" s="144">
        <f>IFERROR(VLOOKUP($A36,table10[],3,FALSE),"-")</f>
        <v>2.58</v>
      </c>
      <c r="L36" s="114">
        <f>MAX(Table16[[#This Row],[Otay]:[San V]])</f>
        <v>3.42</v>
      </c>
    </row>
    <row r="37" spans="1:12" ht="15" x14ac:dyDescent="0.2">
      <c r="A37" s="28" t="s">
        <v>182</v>
      </c>
      <c r="B37" s="144">
        <f>IFERROR(VLOOKUP($A37,table1[],3,FALSE),"-")</f>
        <v>0</v>
      </c>
      <c r="C37" s="144">
        <f>IFERROR(VLOOKUP($A37,Table2[],12,FALSE),"-")</f>
        <v>3.21</v>
      </c>
      <c r="D37" s="144" t="str">
        <f>IFERROR(VLOOKUP($A37,table3[],3,FALSE),"-")</f>
        <v>-</v>
      </c>
      <c r="E37" s="144" t="str">
        <f>IFERROR(VLOOKUP($A37,Table4[],12,FALSE),"-")</f>
        <v>-</v>
      </c>
      <c r="F37" s="144" t="str">
        <f>IFERROR(VLOOKUP($A37,table5[],3,FALSE),"-")</f>
        <v>-</v>
      </c>
      <c r="G37" s="144">
        <f>IFERROR(VLOOKUP($A37,table6[],3,FALSE),"-")</f>
        <v>2.88</v>
      </c>
      <c r="H37" s="144" t="str">
        <f>IFERROR(VLOOKUP($A37,table7[],3,FALSE),"-")</f>
        <v>-</v>
      </c>
      <c r="I37" s="144" t="str">
        <f>IFERROR(VLOOKUP($A37,table8[],3,FALSE),"-")</f>
        <v>-</v>
      </c>
      <c r="J37" s="144" t="str">
        <f>IFERROR(VLOOKUP($A37,table9[],3,FALSE),"-")</f>
        <v>-</v>
      </c>
      <c r="K37" s="144" t="str">
        <f>IFERROR(VLOOKUP($A37,table10[],3,FALSE),"-")</f>
        <v>-</v>
      </c>
      <c r="L37" s="114">
        <f>MAX(Table16[[#This Row],[Otay]:[San V]])</f>
        <v>3.21</v>
      </c>
    </row>
    <row r="38" spans="1:12" ht="15" x14ac:dyDescent="0.2">
      <c r="A38" s="28" t="s">
        <v>157</v>
      </c>
      <c r="B38" s="144" t="str">
        <f>IFERROR(VLOOKUP($A38,table1[],3,FALSE),"-")</f>
        <v>-</v>
      </c>
      <c r="C38" s="144">
        <f>IFERROR(VLOOKUP($A38,Table2[],12,FALSE),"-")</f>
        <v>0</v>
      </c>
      <c r="D38" s="144" t="str">
        <f>IFERROR(VLOOKUP($A38,table3[],3,FALSE),"-")</f>
        <v>-</v>
      </c>
      <c r="E38" s="144">
        <f>IFERROR(VLOOKUP($A38,Table4[],12,FALSE),"-")</f>
        <v>3.19</v>
      </c>
      <c r="F38" s="144" t="str">
        <f>IFERROR(VLOOKUP($A38,table5[],3,FALSE),"-")</f>
        <v>-</v>
      </c>
      <c r="G38" s="144" t="str">
        <f>IFERROR(VLOOKUP($A38,table6[],3,FALSE),"-")</f>
        <v>-</v>
      </c>
      <c r="H38" s="144" t="str">
        <f>IFERROR(VLOOKUP($A38,table7[],3,FALSE),"-")</f>
        <v>-</v>
      </c>
      <c r="I38" s="144" t="str">
        <f>IFERROR(VLOOKUP($A38,table8[],3,FALSE),"-")</f>
        <v>-</v>
      </c>
      <c r="J38" s="144">
        <f>IFERROR(VLOOKUP($A38,table9[],3,FALSE),"-")</f>
        <v>0</v>
      </c>
      <c r="K38" s="144" t="str">
        <f>IFERROR(VLOOKUP($A38,table10[],3,FALSE),"-")</f>
        <v>-</v>
      </c>
      <c r="L38" s="114">
        <f>MAX(Table16[[#This Row],[Otay]:[San V]])</f>
        <v>3.19</v>
      </c>
    </row>
    <row r="39" spans="1:12" ht="15" x14ac:dyDescent="0.2">
      <c r="A39" s="28" t="s">
        <v>99</v>
      </c>
      <c r="B39" s="144">
        <f>IFERROR(VLOOKUP($A39,table1[],3,FALSE),"-")</f>
        <v>2.84</v>
      </c>
      <c r="C39" s="144">
        <f>IFERROR(VLOOKUP($A39,Table2[],12,FALSE),"-")</f>
        <v>0</v>
      </c>
      <c r="D39" s="144">
        <f>IFERROR(VLOOKUP($A39,table3[],3,FALSE),"-")</f>
        <v>2.98</v>
      </c>
      <c r="E39" s="144">
        <f>IFERROR(VLOOKUP($A39,Table4[],12,FALSE),"-")</f>
        <v>2.96</v>
      </c>
      <c r="F39" s="144">
        <f>IFERROR(VLOOKUP($A39,table5[],3,FALSE),"-")</f>
        <v>0</v>
      </c>
      <c r="G39" s="144" t="str">
        <f>IFERROR(VLOOKUP($A39,table6[],3,FALSE),"-")</f>
        <v>-</v>
      </c>
      <c r="H39" s="144" t="str">
        <f>IFERROR(VLOOKUP($A39,table7[],3,FALSE),"-")</f>
        <v>-</v>
      </c>
      <c r="I39" s="144" t="str">
        <f>IFERROR(VLOOKUP($A39,table8[],3,FALSE),"-")</f>
        <v>-</v>
      </c>
      <c r="J39" s="144" t="str">
        <f>IFERROR(VLOOKUP($A39,table9[],3,FALSE),"-")</f>
        <v>-</v>
      </c>
      <c r="K39" s="144" t="str">
        <f>IFERROR(VLOOKUP($A39,table10[],3,FALSE),"-")</f>
        <v>-</v>
      </c>
      <c r="L39" s="114">
        <f>MAX(Table16[[#This Row],[Otay]:[San V]])</f>
        <v>2.98</v>
      </c>
    </row>
    <row r="40" spans="1:12" ht="15" x14ac:dyDescent="0.2">
      <c r="A40" s="28" t="s">
        <v>238</v>
      </c>
      <c r="B40" s="144">
        <f>IFERROR(VLOOKUP($A40,table1[],3,FALSE),"-")</f>
        <v>1.87</v>
      </c>
      <c r="C40" s="144" t="str">
        <f>IFERROR(VLOOKUP($A40,Table2[],12,FALSE),"-")</f>
        <v>-</v>
      </c>
      <c r="D40" s="144">
        <f>IFERROR(VLOOKUP($A40,table3[],3,FALSE),"-")</f>
        <v>1.83</v>
      </c>
      <c r="E40" s="144" t="str">
        <f>IFERROR(VLOOKUP($A40,Table4[],12,FALSE),"-")</f>
        <v>-</v>
      </c>
      <c r="F40" s="151">
        <f>IFERROR(VLOOKUP($A40,table5[],3,FALSE),"-")</f>
        <v>1.99</v>
      </c>
      <c r="G40" s="144">
        <f>IFERROR(VLOOKUP($A40,table6[],3,FALSE),"-")</f>
        <v>1.9</v>
      </c>
      <c r="H40" s="144">
        <f>IFERROR(VLOOKUP($A40,table7[],3,FALSE),"-")</f>
        <v>2.35</v>
      </c>
      <c r="I40" s="144">
        <f>IFERROR(VLOOKUP($A40,table8[],3,FALSE),"-")</f>
        <v>2.81</v>
      </c>
      <c r="J40" s="144" t="str">
        <f>IFERROR(VLOOKUP($A40,table9[],3,FALSE),"-")</f>
        <v>-</v>
      </c>
      <c r="K40" s="144">
        <f>IFERROR(VLOOKUP($A40,table10[],3,FALSE),"-")</f>
        <v>2.94</v>
      </c>
      <c r="L40" s="114">
        <f>MAX(Table16[[#This Row],[Otay]:[San V]])</f>
        <v>2.94</v>
      </c>
    </row>
    <row r="41" spans="1:12" ht="15" x14ac:dyDescent="0.2">
      <c r="A41" s="28" t="s">
        <v>233</v>
      </c>
      <c r="B41" s="144" t="str">
        <f>IFERROR(VLOOKUP($A41,table1[],3,FALSE),"-")</f>
        <v>-</v>
      </c>
      <c r="C41" s="144" t="str">
        <f>IFERROR(VLOOKUP($A41,Table2[],12,FALSE),"-")</f>
        <v>-</v>
      </c>
      <c r="D41" s="144">
        <f>IFERROR(VLOOKUP($A41,table3[],3,FALSE),"-")</f>
        <v>2.91</v>
      </c>
      <c r="E41" s="144" t="str">
        <f>IFERROR(VLOOKUP($A41,Table4[],12,FALSE),"-")</f>
        <v>-</v>
      </c>
      <c r="F41" s="144" t="str">
        <f>IFERROR(VLOOKUP($A41,table5[],3,FALSE),"-")</f>
        <v>-</v>
      </c>
      <c r="G41" s="144" t="str">
        <f>IFERROR(VLOOKUP($A41,table6[],3,FALSE),"-")</f>
        <v>-</v>
      </c>
      <c r="H41" s="144" t="str">
        <f>IFERROR(VLOOKUP($A41,table7[],3,FALSE),"-")</f>
        <v>-</v>
      </c>
      <c r="I41" s="144">
        <f>IFERROR(VLOOKUP($A41,table8[],3,FALSE),"-")</f>
        <v>1.72</v>
      </c>
      <c r="J41" s="144" t="str">
        <f>IFERROR(VLOOKUP($A41,table9[],3,FALSE),"-")</f>
        <v>-</v>
      </c>
      <c r="K41" s="144" t="str">
        <f>IFERROR(VLOOKUP($A41,table10[],3,FALSE),"-")</f>
        <v>-</v>
      </c>
      <c r="L41" s="114">
        <f>MAX(Table16[[#This Row],[Otay]:[San V]])</f>
        <v>2.91</v>
      </c>
    </row>
    <row r="42" spans="1:12" ht="15" x14ac:dyDescent="0.2">
      <c r="A42" s="28" t="s">
        <v>269</v>
      </c>
      <c r="B42" s="144" t="str">
        <f>IFERROR(VLOOKUP($A42,table1[],3,FALSE),"-")</f>
        <v>-</v>
      </c>
      <c r="C42" s="144" t="str">
        <f>IFERROR(VLOOKUP($A42,Table2[],12,FALSE),"-")</f>
        <v>-</v>
      </c>
      <c r="D42" s="144" t="str">
        <f>IFERROR(VLOOKUP($A42,table3[],3,FALSE),"-")</f>
        <v>-</v>
      </c>
      <c r="E42" s="144" t="str">
        <f>IFERROR(VLOOKUP($A42,Table4[],12,FALSE),"-")</f>
        <v>-</v>
      </c>
      <c r="F42" s="144" t="str">
        <f>IFERROR(VLOOKUP($A42,table5[],3,FALSE),"-")</f>
        <v>-</v>
      </c>
      <c r="G42" s="144" t="str">
        <f>IFERROR(VLOOKUP($A42,table6[],3,FALSE),"-")</f>
        <v>-</v>
      </c>
      <c r="H42" s="144" t="str">
        <f>IFERROR(VLOOKUP($A42,table7[],3,FALSE),"-")</f>
        <v>-</v>
      </c>
      <c r="I42" s="144">
        <f>IFERROR(VLOOKUP($A42,table8[],3,FALSE),"-")</f>
        <v>0</v>
      </c>
      <c r="J42" s="144" t="str">
        <f>IFERROR(VLOOKUP($A42,table9[],3,FALSE),"-")</f>
        <v>-</v>
      </c>
      <c r="K42" s="144">
        <f>IFERROR(VLOOKUP($A42,table10[],3,FALSE),"-")</f>
        <v>1.73</v>
      </c>
      <c r="L42" s="114">
        <f>MAX(Table16[[#This Row],[Otay]:[San V]])</f>
        <v>1.73</v>
      </c>
    </row>
    <row r="43" spans="1:12" ht="15" x14ac:dyDescent="0.2">
      <c r="A43" s="28"/>
      <c r="B43" s="144" t="str">
        <f>IFERROR(VLOOKUP($A43,table1[],3,FALSE),"-")</f>
        <v>-</v>
      </c>
      <c r="C43" s="144" t="str">
        <f>IFERROR(VLOOKUP($A43,Table2[],12,FALSE),"-")</f>
        <v>-</v>
      </c>
      <c r="D43" s="144" t="str">
        <f>IFERROR(VLOOKUP($A43,table3[],3,FALSE),"-")</f>
        <v>-</v>
      </c>
      <c r="E43" s="144" t="str">
        <f>IFERROR(VLOOKUP($A43,Table4[],12,FALSE),"-")</f>
        <v>-</v>
      </c>
      <c r="F43" s="144" t="str">
        <f>IFERROR(VLOOKUP($A43,table5[],3,FALSE),"-")</f>
        <v>-</v>
      </c>
      <c r="G43" s="144" t="str">
        <f>IFERROR(VLOOKUP($A43,table6[],3,FALSE),"-")</f>
        <v>-</v>
      </c>
      <c r="H43" s="144" t="str">
        <f>IFERROR(VLOOKUP($A43,table7[],3,FALSE),"-")</f>
        <v>-</v>
      </c>
      <c r="I43" s="144" t="str">
        <f>IFERROR(VLOOKUP($A43,table8[],3,FALSE),"-")</f>
        <v>-</v>
      </c>
      <c r="J43" s="144" t="str">
        <f>IFERROR(VLOOKUP($A43,table9[],3,FALSE),"-")</f>
        <v>-</v>
      </c>
      <c r="K43" s="144" t="str">
        <f>IFERROR(VLOOKUP($A43,table10[],3,FALSE),"-")</f>
        <v>-</v>
      </c>
      <c r="L43" s="114">
        <f>MAX(Table16[[#This Row],[Otay]:[San V]])</f>
        <v>0</v>
      </c>
    </row>
    <row r="44" spans="1:12" ht="15" x14ac:dyDescent="0.2">
      <c r="A44" s="28"/>
      <c r="B44" s="144" t="str">
        <f>IFERROR(VLOOKUP($A44,table1[],3,FALSE),"-")</f>
        <v>-</v>
      </c>
      <c r="C44" s="144" t="str">
        <f>IFERROR(VLOOKUP($A44,Table2[],12,FALSE),"-")</f>
        <v>-</v>
      </c>
      <c r="D44" s="144" t="str">
        <f>IFERROR(VLOOKUP($A44,table3[],3,FALSE),"-")</f>
        <v>-</v>
      </c>
      <c r="E44" s="144" t="str">
        <f>IFERROR(VLOOKUP($A44,Table4[],12,FALSE),"-")</f>
        <v>-</v>
      </c>
      <c r="F44" s="144" t="str">
        <f>IFERROR(VLOOKUP($A44,table5[],3,FALSE),"-")</f>
        <v>-</v>
      </c>
      <c r="G44" s="144" t="str">
        <f>IFERROR(VLOOKUP($A44,table6[],3,FALSE),"-")</f>
        <v>-</v>
      </c>
      <c r="H44" s="144" t="str">
        <f>IFERROR(VLOOKUP($A44,table7[],3,FALSE),"-")</f>
        <v>-</v>
      </c>
      <c r="I44" s="144" t="str">
        <f>IFERROR(VLOOKUP($A44,table8[],3,FALSE),"-")</f>
        <v>-</v>
      </c>
      <c r="J44" s="144" t="str">
        <f>IFERROR(VLOOKUP($A44,table9[],3,FALSE),"-")</f>
        <v>-</v>
      </c>
      <c r="K44" s="144" t="str">
        <f>IFERROR(VLOOKUP($A44,table10[],3,FALSE),"-")</f>
        <v>-</v>
      </c>
      <c r="L44" s="114">
        <f>MAX(Table16[[#This Row],[Otay]:[San V]])</f>
        <v>0</v>
      </c>
    </row>
    <row r="45" spans="1:12" ht="15" x14ac:dyDescent="0.2">
      <c r="A45" s="28"/>
      <c r="B45" s="144" t="str">
        <f>IFERROR(VLOOKUP($A45,table1[],3,FALSE),"-")</f>
        <v>-</v>
      </c>
      <c r="C45" s="144" t="str">
        <f>IFERROR(VLOOKUP($A45,Table2[],12,FALSE),"-")</f>
        <v>-</v>
      </c>
      <c r="D45" s="144" t="str">
        <f>IFERROR(VLOOKUP($A45,table3[],3,FALSE),"-")</f>
        <v>-</v>
      </c>
      <c r="E45" s="144" t="str">
        <f>IFERROR(VLOOKUP($A45,Table4[],12,FALSE),"-")</f>
        <v>-</v>
      </c>
      <c r="F45" s="144" t="str">
        <f>IFERROR(VLOOKUP($A45,table5[],3,FALSE),"-")</f>
        <v>-</v>
      </c>
      <c r="G45" s="144" t="str">
        <f>IFERROR(VLOOKUP($A45,table6[],3,FALSE),"-")</f>
        <v>-</v>
      </c>
      <c r="H45" s="144" t="str">
        <f>IFERROR(VLOOKUP($A45,table7[],3,FALSE),"-")</f>
        <v>-</v>
      </c>
      <c r="I45" s="144" t="str">
        <f>IFERROR(VLOOKUP($A45,table8[],3,FALSE),"-")</f>
        <v>-</v>
      </c>
      <c r="J45" s="144" t="str">
        <f>IFERROR(VLOOKUP($A45,table9[],3,FALSE),"-")</f>
        <v>-</v>
      </c>
      <c r="K45" s="144" t="str">
        <f>IFERROR(VLOOKUP($A45,table10[],3,FALSE),"-")</f>
        <v>-</v>
      </c>
      <c r="L45" s="114">
        <f>MAX(Table16[[#This Row],[Otay]:[San V]])</f>
        <v>0</v>
      </c>
    </row>
    <row r="46" spans="1:12" ht="15" x14ac:dyDescent="0.2">
      <c r="A46" s="28"/>
      <c r="B46" s="144" t="str">
        <f>IFERROR(VLOOKUP($A46,table1[],3,FALSE),"-")</f>
        <v>-</v>
      </c>
      <c r="C46" s="144" t="str">
        <f>IFERROR(VLOOKUP($A46,Table2[],12,FALSE),"-")</f>
        <v>-</v>
      </c>
      <c r="D46" s="144" t="str">
        <f>IFERROR(VLOOKUP($A46,table3[],3,FALSE),"-")</f>
        <v>-</v>
      </c>
      <c r="E46" s="144" t="str">
        <f>IFERROR(VLOOKUP($A46,Table4[],12,FALSE),"-")</f>
        <v>-</v>
      </c>
      <c r="F46" s="144" t="str">
        <f>IFERROR(VLOOKUP($A46,table5[],3,FALSE),"-")</f>
        <v>-</v>
      </c>
      <c r="G46" s="144" t="str">
        <f>IFERROR(VLOOKUP($A46,table6[],3,FALSE),"-")</f>
        <v>-</v>
      </c>
      <c r="H46" s="144" t="str">
        <f>IFERROR(VLOOKUP($A46,table7[],3,FALSE),"-")</f>
        <v>-</v>
      </c>
      <c r="I46" s="144" t="str">
        <f>IFERROR(VLOOKUP($A46,table8[],3,FALSE),"-")</f>
        <v>-</v>
      </c>
      <c r="J46" s="144" t="str">
        <f>IFERROR(VLOOKUP($A46,table9[],3,FALSE),"-")</f>
        <v>-</v>
      </c>
      <c r="K46" s="144" t="str">
        <f>IFERROR(VLOOKUP($A46,table10[],3,FALSE),"-")</f>
        <v>-</v>
      </c>
      <c r="L46" s="114">
        <f>MAX(Table16[[#This Row],[Otay]:[San V]])</f>
        <v>0</v>
      </c>
    </row>
    <row r="47" spans="1:12" ht="15" x14ac:dyDescent="0.2">
      <c r="A47" s="122"/>
      <c r="B47" s="144" t="str">
        <f>IFERROR(VLOOKUP($A47,table1[],3,FALSE),"-")</f>
        <v>-</v>
      </c>
      <c r="C47" s="144" t="str">
        <f>IFERROR(VLOOKUP($A47,Table2[],12,FALSE),"-")</f>
        <v>-</v>
      </c>
      <c r="D47" s="144" t="str">
        <f>IFERROR(VLOOKUP($A47,table3[],3,FALSE),"-")</f>
        <v>-</v>
      </c>
      <c r="E47" s="144" t="str">
        <f>IFERROR(VLOOKUP($A47,Table4[],12,FALSE),"-")</f>
        <v>-</v>
      </c>
      <c r="F47" s="144" t="str">
        <f>IFERROR(VLOOKUP($A47,table5[],3,FALSE),"-")</f>
        <v>-</v>
      </c>
      <c r="G47" s="144" t="str">
        <f>IFERROR(VLOOKUP($A47,table6[],3,FALSE),"-")</f>
        <v>-</v>
      </c>
      <c r="H47" s="144" t="str">
        <f>IFERROR(VLOOKUP($A47,table7[],3,FALSE),"-")</f>
        <v>-</v>
      </c>
      <c r="I47" s="144" t="str">
        <f>IFERROR(VLOOKUP($A47,table8[],3,FALSE),"-")</f>
        <v>-</v>
      </c>
      <c r="J47" s="144" t="str">
        <f>IFERROR(VLOOKUP($A47,table9[],3,FALSE),"-")</f>
        <v>-</v>
      </c>
      <c r="K47" s="144" t="str">
        <f>IFERROR(VLOOKUP($A47,table10[],3,FALSE),"-")</f>
        <v>-</v>
      </c>
      <c r="L47" s="114">
        <f>MAX(Table16[[#This Row],[Otay]:[San V]])</f>
        <v>0</v>
      </c>
    </row>
    <row r="48" spans="1:12" ht="15" x14ac:dyDescent="0.2">
      <c r="A48" s="28"/>
      <c r="B48" s="144" t="str">
        <f>IFERROR(VLOOKUP($A48,table1[],3,FALSE),"-")</f>
        <v>-</v>
      </c>
      <c r="C48" s="144" t="str">
        <f>IFERROR(VLOOKUP($A48,Table2[],12,FALSE),"-")</f>
        <v>-</v>
      </c>
      <c r="D48" s="144" t="str">
        <f>IFERROR(VLOOKUP($A48,table3[],3,FALSE),"-")</f>
        <v>-</v>
      </c>
      <c r="E48" s="144" t="str">
        <f>IFERROR(VLOOKUP($A48,Table4[],12,FALSE),"-")</f>
        <v>-</v>
      </c>
      <c r="F48" s="144" t="str">
        <f>IFERROR(VLOOKUP($A48,table5[],3,FALSE),"-")</f>
        <v>-</v>
      </c>
      <c r="G48" s="144" t="str">
        <f>IFERROR(VLOOKUP($A48,table6[],3,FALSE),"-")</f>
        <v>-</v>
      </c>
      <c r="H48" s="144" t="str">
        <f>IFERROR(VLOOKUP($A48,table7[],3,FALSE),"-")</f>
        <v>-</v>
      </c>
      <c r="I48" s="144" t="str">
        <f>IFERROR(VLOOKUP($A48,table8[],3,FALSE),"-")</f>
        <v>-</v>
      </c>
      <c r="J48" s="144" t="str">
        <f>IFERROR(VLOOKUP($A48,table9[],3,FALSE),"-")</f>
        <v>-</v>
      </c>
      <c r="K48" s="144" t="str">
        <f>IFERROR(VLOOKUP($A48,table10[],3,FALSE),"-")</f>
        <v>-</v>
      </c>
      <c r="L48" s="114">
        <f>MAX(Table16[[#This Row],[Otay]:[San V]])</f>
        <v>0</v>
      </c>
    </row>
    <row r="49" spans="1:12" ht="15" x14ac:dyDescent="0.2">
      <c r="A49" s="28"/>
      <c r="B49" s="144" t="str">
        <f>IFERROR(VLOOKUP($A49,table1[],3,FALSE),"-")</f>
        <v>-</v>
      </c>
      <c r="C49" s="144" t="str">
        <f>IFERROR(VLOOKUP($A49,Table2[],12,FALSE),"-")</f>
        <v>-</v>
      </c>
      <c r="D49" s="144" t="str">
        <f>IFERROR(VLOOKUP($A49,table3[],3,FALSE),"-")</f>
        <v>-</v>
      </c>
      <c r="E49" s="144" t="str">
        <f>IFERROR(VLOOKUP($A49,Table4[],12,FALSE),"-")</f>
        <v>-</v>
      </c>
      <c r="F49" s="144" t="str">
        <f>IFERROR(VLOOKUP($A49,table5[],3,FALSE),"-")</f>
        <v>-</v>
      </c>
      <c r="G49" s="144" t="str">
        <f>IFERROR(VLOOKUP($A49,table6[],3,FALSE),"-")</f>
        <v>-</v>
      </c>
      <c r="H49" s="144" t="str">
        <f>IFERROR(VLOOKUP($A49,table7[],3,FALSE),"-")</f>
        <v>-</v>
      </c>
      <c r="I49" s="144" t="str">
        <f>IFERROR(VLOOKUP($A49,table8[],3,FALSE),"-")</f>
        <v>-</v>
      </c>
      <c r="J49" s="144" t="str">
        <f>IFERROR(VLOOKUP($A49,table9[],3,FALSE),"-")</f>
        <v>-</v>
      </c>
      <c r="K49" s="144" t="str">
        <f>IFERROR(VLOOKUP($A49,table10[],3,FALSE),"-")</f>
        <v>-</v>
      </c>
      <c r="L49" s="114">
        <f>MAX(Table16[[#This Row],[Otay]:[San V]])</f>
        <v>0</v>
      </c>
    </row>
    <row r="50" spans="1:12" ht="15" x14ac:dyDescent="0.2">
      <c r="A50" s="28"/>
      <c r="B50" s="144" t="str">
        <f>IFERROR(VLOOKUP($A50,table1[],3,FALSE),"-")</f>
        <v>-</v>
      </c>
      <c r="C50" s="144" t="str">
        <f>IFERROR(VLOOKUP($A50,Table2[],12,FALSE),"-")</f>
        <v>-</v>
      </c>
      <c r="D50" s="144" t="str">
        <f>IFERROR(VLOOKUP($A50,table3[],3,FALSE),"-")</f>
        <v>-</v>
      </c>
      <c r="E50" s="144" t="str">
        <f>IFERROR(VLOOKUP($A50,Table4[],12,FALSE),"-")</f>
        <v>-</v>
      </c>
      <c r="F50" s="144" t="str">
        <f>IFERROR(VLOOKUP($A50,table5[],3,FALSE),"-")</f>
        <v>-</v>
      </c>
      <c r="G50" s="144" t="str">
        <f>IFERROR(VLOOKUP($A50,table6[],3,FALSE),"-")</f>
        <v>-</v>
      </c>
      <c r="H50" s="144" t="str">
        <f>IFERROR(VLOOKUP($A50,table7[],3,FALSE),"-")</f>
        <v>-</v>
      </c>
      <c r="I50" s="144" t="str">
        <f>IFERROR(VLOOKUP($A50,table8[],3,FALSE),"-")</f>
        <v>-</v>
      </c>
      <c r="J50" s="144" t="str">
        <f>IFERROR(VLOOKUP($A50,table9[],3,FALSE),"-")</f>
        <v>-</v>
      </c>
      <c r="K50" s="144" t="str">
        <f>IFERROR(VLOOKUP($A50,table10[],3,FALSE),"-")</f>
        <v>-</v>
      </c>
      <c r="L50" s="114">
        <f>MAX(Table16[[#This Row],[Otay]:[San V]])</f>
        <v>0</v>
      </c>
    </row>
    <row r="51" spans="1:12" ht="15" x14ac:dyDescent="0.2">
      <c r="A51" s="28"/>
      <c r="B51" s="144" t="str">
        <f>IFERROR(VLOOKUP($A51,table1[],3,FALSE),"-")</f>
        <v>-</v>
      </c>
      <c r="C51" s="144" t="str">
        <f>IFERROR(VLOOKUP($A51,Table2[],12,FALSE),"-")</f>
        <v>-</v>
      </c>
      <c r="D51" s="144" t="str">
        <f>IFERROR(VLOOKUP($A51,table3[],3,FALSE),"-")</f>
        <v>-</v>
      </c>
      <c r="E51" s="144" t="str">
        <f>IFERROR(VLOOKUP($A51,Table4[],12,FALSE),"-")</f>
        <v>-</v>
      </c>
      <c r="F51" s="144" t="str">
        <f>IFERROR(VLOOKUP($A51,table5[],3,FALSE),"-")</f>
        <v>-</v>
      </c>
      <c r="G51" s="144" t="str">
        <f>IFERROR(VLOOKUP($A51,table6[],3,FALSE),"-")</f>
        <v>-</v>
      </c>
      <c r="H51" s="144" t="str">
        <f>IFERROR(VLOOKUP($A51,table7[],3,FALSE),"-")</f>
        <v>-</v>
      </c>
      <c r="I51" s="144" t="str">
        <f>IFERROR(VLOOKUP($A51,table8[],3,FALSE),"-")</f>
        <v>-</v>
      </c>
      <c r="J51" s="144" t="str">
        <f>IFERROR(VLOOKUP($A51,table9[],3,FALSE),"-")</f>
        <v>-</v>
      </c>
      <c r="K51" s="144" t="str">
        <f>IFERROR(VLOOKUP($A51,table10[],3,FALSE),"-")</f>
        <v>-</v>
      </c>
      <c r="L51" s="114">
        <f>MAX(Table16[[#This Row],[Otay]:[San V]])</f>
        <v>0</v>
      </c>
    </row>
    <row r="52" spans="1:12" ht="15" x14ac:dyDescent="0.2">
      <c r="A52" s="28"/>
      <c r="B52" s="144" t="str">
        <f>IFERROR(VLOOKUP($A52,table1[],3,FALSE),"-")</f>
        <v>-</v>
      </c>
      <c r="C52" s="144" t="str">
        <f>IFERROR(VLOOKUP($A52,Table2[],12,FALSE),"-")</f>
        <v>-</v>
      </c>
      <c r="D52" s="144" t="str">
        <f>IFERROR(VLOOKUP($A52,table3[],3,FALSE),"-")</f>
        <v>-</v>
      </c>
      <c r="E52" s="144" t="str">
        <f>IFERROR(VLOOKUP($A52,Table4[],12,FALSE),"-")</f>
        <v>-</v>
      </c>
      <c r="F52" s="144" t="str">
        <f>IFERROR(VLOOKUP($A52,table5[],3,FALSE),"-")</f>
        <v>-</v>
      </c>
      <c r="G52" s="144" t="str">
        <f>IFERROR(VLOOKUP($A52,table6[],3,FALSE),"-")</f>
        <v>-</v>
      </c>
      <c r="H52" s="144" t="str">
        <f>IFERROR(VLOOKUP($A52,table7[],3,FALSE),"-")</f>
        <v>-</v>
      </c>
      <c r="I52" s="144" t="str">
        <f>IFERROR(VLOOKUP($A52,table8[],3,FALSE),"-")</f>
        <v>-</v>
      </c>
      <c r="J52" s="144" t="str">
        <f>IFERROR(VLOOKUP($A52,table9[],3,FALSE),"-")</f>
        <v>-</v>
      </c>
      <c r="K52" s="144" t="str">
        <f>IFERROR(VLOOKUP($A52,table10[],3,FALSE),"-")</f>
        <v>-</v>
      </c>
      <c r="L52" s="114">
        <f>MAX(Table16[[#This Row],[Otay]:[San V]])</f>
        <v>0</v>
      </c>
    </row>
    <row r="53" spans="1:12" ht="15" x14ac:dyDescent="0.2">
      <c r="A53" s="28"/>
      <c r="B53" s="144" t="str">
        <f>IFERROR(VLOOKUP($A53,table1[],3,FALSE),"-")</f>
        <v>-</v>
      </c>
      <c r="C53" s="144" t="str">
        <f>IFERROR(VLOOKUP($A53,Table2[],12,FALSE),"-")</f>
        <v>-</v>
      </c>
      <c r="D53" s="144" t="str">
        <f>IFERROR(VLOOKUP($A53,table3[],3,FALSE),"-")</f>
        <v>-</v>
      </c>
      <c r="E53" s="144" t="str">
        <f>IFERROR(VLOOKUP($A53,Table4[],12,FALSE),"-")</f>
        <v>-</v>
      </c>
      <c r="F53" s="144" t="str">
        <f>IFERROR(VLOOKUP($A53,table5[],3,FALSE),"-")</f>
        <v>-</v>
      </c>
      <c r="G53" s="144" t="str">
        <f>IFERROR(VLOOKUP($A53,table6[],3,FALSE),"-")</f>
        <v>-</v>
      </c>
      <c r="H53" s="144" t="str">
        <f>IFERROR(VLOOKUP($A53,table7[],3,FALSE),"-")</f>
        <v>-</v>
      </c>
      <c r="I53" s="144" t="str">
        <f>IFERROR(VLOOKUP($A53,table8[],3,FALSE),"-")</f>
        <v>-</v>
      </c>
      <c r="J53" s="144" t="str">
        <f>IFERROR(VLOOKUP($A53,table9[],3,FALSE),"-")</f>
        <v>-</v>
      </c>
      <c r="K53" s="144" t="str">
        <f>IFERROR(VLOOKUP($A53,table10[],3,FALSE),"-")</f>
        <v>-</v>
      </c>
      <c r="L53" s="114">
        <f>MAX(Table16[[#This Row],[Otay]:[San V]])</f>
        <v>0</v>
      </c>
    </row>
    <row r="54" spans="1:12" ht="15" x14ac:dyDescent="0.2">
      <c r="A54" s="28"/>
      <c r="B54" s="144" t="str">
        <f>IFERROR(VLOOKUP($A54,table1[],3,FALSE),"-")</f>
        <v>-</v>
      </c>
      <c r="C54" s="144" t="str">
        <f>IFERROR(VLOOKUP($A54,Table2[],12,FALSE),"-")</f>
        <v>-</v>
      </c>
      <c r="D54" s="144" t="str">
        <f>IFERROR(VLOOKUP($A54,table3[],3,FALSE),"-")</f>
        <v>-</v>
      </c>
      <c r="E54" s="144" t="str">
        <f>IFERROR(VLOOKUP($A54,Table4[],12,FALSE),"-")</f>
        <v>-</v>
      </c>
      <c r="F54" s="144" t="str">
        <f>IFERROR(VLOOKUP($A54,table5[],3,FALSE),"-")</f>
        <v>-</v>
      </c>
      <c r="G54" s="144" t="str">
        <f>IFERROR(VLOOKUP($A54,table6[],3,FALSE),"-")</f>
        <v>-</v>
      </c>
      <c r="H54" s="144" t="str">
        <f>IFERROR(VLOOKUP($A54,table7[],3,FALSE),"-")</f>
        <v>-</v>
      </c>
      <c r="I54" s="144" t="str">
        <f>IFERROR(VLOOKUP($A54,table8[],3,FALSE),"-")</f>
        <v>-</v>
      </c>
      <c r="J54" s="144" t="str">
        <f>IFERROR(VLOOKUP($A54,table9[],3,FALSE),"-")</f>
        <v>-</v>
      </c>
      <c r="K54" s="144" t="str">
        <f>IFERROR(VLOOKUP($A54,table10[],3,FALSE),"-")</f>
        <v>-</v>
      </c>
      <c r="L54" s="114">
        <f>MAX(Table16[[#This Row],[Otay]:[San V]])</f>
        <v>0</v>
      </c>
    </row>
    <row r="55" spans="1:12" ht="15" x14ac:dyDescent="0.2">
      <c r="A55" s="28"/>
      <c r="B55" s="144" t="str">
        <f>IFERROR(VLOOKUP($A55,table1[],3,FALSE),"-")</f>
        <v>-</v>
      </c>
      <c r="C55" s="144" t="str">
        <f>IFERROR(VLOOKUP($A55,Table2[],12,FALSE),"-")</f>
        <v>-</v>
      </c>
      <c r="D55" s="144" t="str">
        <f>IFERROR(VLOOKUP($A55,table3[],3,FALSE),"-")</f>
        <v>-</v>
      </c>
      <c r="E55" s="144" t="str">
        <f>IFERROR(VLOOKUP($A55,Table4[],12,FALSE),"-")</f>
        <v>-</v>
      </c>
      <c r="F55" s="144" t="str">
        <f>IFERROR(VLOOKUP($A55,table5[],3,FALSE),"-")</f>
        <v>-</v>
      </c>
      <c r="G55" s="144" t="str">
        <f>IFERROR(VLOOKUP($A55,table6[],3,FALSE),"-")</f>
        <v>-</v>
      </c>
      <c r="H55" s="144" t="str">
        <f>IFERROR(VLOOKUP($A55,table7[],3,FALSE),"-")</f>
        <v>-</v>
      </c>
      <c r="I55" s="144" t="str">
        <f>IFERROR(VLOOKUP($A55,table8[],3,FALSE),"-")</f>
        <v>-</v>
      </c>
      <c r="J55" s="144" t="str">
        <f>IFERROR(VLOOKUP($A55,table9[],3,FALSE),"-")</f>
        <v>-</v>
      </c>
      <c r="K55" s="144" t="str">
        <f>IFERROR(VLOOKUP($A55,table10[],3,FALSE),"-")</f>
        <v>-</v>
      </c>
      <c r="L55" s="114">
        <f>MAX(Table16[[#This Row],[Otay]:[San V]])</f>
        <v>0</v>
      </c>
    </row>
    <row r="56" spans="1:12" ht="15" x14ac:dyDescent="0.2">
      <c r="A56" s="73"/>
      <c r="B56" s="144" t="str">
        <f>IFERROR(VLOOKUP($A56,table1[],3,FALSE),"-")</f>
        <v>-</v>
      </c>
      <c r="C56" s="144" t="str">
        <f>IFERROR(VLOOKUP($A56,Table2[],12,FALSE),"-")</f>
        <v>-</v>
      </c>
      <c r="D56" s="144" t="str">
        <f>IFERROR(VLOOKUP($A56,table3[],3,FALSE),"-")</f>
        <v>-</v>
      </c>
      <c r="E56" s="144" t="str">
        <f>IFERROR(VLOOKUP($A56,Table4[],12,FALSE),"-")</f>
        <v>-</v>
      </c>
      <c r="F56" s="144" t="str">
        <f>IFERROR(VLOOKUP($A56,table5[],3,FALSE),"-")</f>
        <v>-</v>
      </c>
      <c r="G56" s="144" t="str">
        <f>IFERROR(VLOOKUP($A56,table6[],3,FALSE),"-")</f>
        <v>-</v>
      </c>
      <c r="H56" s="144" t="str">
        <f>IFERROR(VLOOKUP($A56,table7[],3,FALSE),"-")</f>
        <v>-</v>
      </c>
      <c r="I56" s="144" t="str">
        <f>IFERROR(VLOOKUP($A56,table8[],3,FALSE),"-")</f>
        <v>-</v>
      </c>
      <c r="J56" s="144" t="str">
        <f>IFERROR(VLOOKUP($A56,table9[],3,FALSE),"-")</f>
        <v>-</v>
      </c>
      <c r="K56" s="144" t="str">
        <f>IFERROR(VLOOKUP($A56,table10[],3,FALSE),"-")</f>
        <v>-</v>
      </c>
      <c r="L56" s="114">
        <f>MAX(Table16[[#This Row],[Otay]:[San V]])</f>
        <v>0</v>
      </c>
    </row>
    <row r="57" spans="1:12" ht="15" x14ac:dyDescent="0.2">
      <c r="A57" s="28"/>
      <c r="B57" s="144" t="str">
        <f>IFERROR(VLOOKUP($A57,table1[],3,FALSE),"-")</f>
        <v>-</v>
      </c>
      <c r="C57" s="144" t="str">
        <f>IFERROR(VLOOKUP($A57,Table2[],12,FALSE),"-")</f>
        <v>-</v>
      </c>
      <c r="D57" s="144" t="str">
        <f>IFERROR(VLOOKUP($A57,table3[],3,FALSE),"-")</f>
        <v>-</v>
      </c>
      <c r="E57" s="144" t="str">
        <f>IFERROR(VLOOKUP($A57,Table4[],12,FALSE),"-")</f>
        <v>-</v>
      </c>
      <c r="F57" s="144" t="str">
        <f>IFERROR(VLOOKUP($A57,table5[],3,FALSE),"-")</f>
        <v>-</v>
      </c>
      <c r="G57" s="144" t="str">
        <f>IFERROR(VLOOKUP($A57,table6[],3,FALSE),"-")</f>
        <v>-</v>
      </c>
      <c r="H57" s="144" t="str">
        <f>IFERROR(VLOOKUP($A57,table7[],3,FALSE),"-")</f>
        <v>-</v>
      </c>
      <c r="I57" s="144" t="str">
        <f>IFERROR(VLOOKUP($A57,table8[],3,FALSE),"-")</f>
        <v>-</v>
      </c>
      <c r="J57" s="144" t="str">
        <f>IFERROR(VLOOKUP($A57,table9[],3,FALSE),"-")</f>
        <v>-</v>
      </c>
      <c r="K57" s="144" t="str">
        <f>IFERROR(VLOOKUP($A57,table10[],3,FALSE),"-")</f>
        <v>-</v>
      </c>
      <c r="L57" s="114">
        <f>MAX(Table16[[#This Row],[Otay]:[San V]])</f>
        <v>0</v>
      </c>
    </row>
    <row r="58" spans="1:12" ht="15" x14ac:dyDescent="0.2">
      <c r="A58" s="28"/>
      <c r="B58" s="144" t="str">
        <f>IFERROR(VLOOKUP($A58,table1[],3,FALSE),"-")</f>
        <v>-</v>
      </c>
      <c r="C58" s="144" t="str">
        <f>IFERROR(VLOOKUP($A58,Table2[],12,FALSE),"-")</f>
        <v>-</v>
      </c>
      <c r="D58" s="144" t="str">
        <f>IFERROR(VLOOKUP($A58,table3[],3,FALSE),"-")</f>
        <v>-</v>
      </c>
      <c r="E58" s="144" t="str">
        <f>IFERROR(VLOOKUP($A58,Table4[],12,FALSE),"-")</f>
        <v>-</v>
      </c>
      <c r="F58" s="144" t="str">
        <f>IFERROR(VLOOKUP($A58,table5[],3,FALSE),"-")</f>
        <v>-</v>
      </c>
      <c r="G58" s="144" t="str">
        <f>IFERROR(VLOOKUP($A58,table6[],3,FALSE),"-")</f>
        <v>-</v>
      </c>
      <c r="H58" s="144" t="str">
        <f>IFERROR(VLOOKUP($A58,table7[],3,FALSE),"-")</f>
        <v>-</v>
      </c>
      <c r="I58" s="144" t="str">
        <f>IFERROR(VLOOKUP($A58,table8[],3,FALSE),"-")</f>
        <v>-</v>
      </c>
      <c r="J58" s="144" t="str">
        <f>IFERROR(VLOOKUP($A58,table9[],3,FALSE),"-")</f>
        <v>-</v>
      </c>
      <c r="K58" s="144" t="str">
        <f>IFERROR(VLOOKUP($A58,table10[],3,FALSE),"-")</f>
        <v>-</v>
      </c>
      <c r="L58" s="114">
        <f>MAX(Table16[[#This Row],[Otay]:[San V]])</f>
        <v>0</v>
      </c>
    </row>
    <row r="59" spans="1:12" ht="15" x14ac:dyDescent="0.2">
      <c r="A59" s="28"/>
      <c r="B59" s="144" t="str">
        <f>IFERROR(VLOOKUP($A59,table1[],3,FALSE),"-")</f>
        <v>-</v>
      </c>
      <c r="C59" s="144" t="str">
        <f>IFERROR(VLOOKUP($A59,Table2[],12,FALSE),"-")</f>
        <v>-</v>
      </c>
      <c r="D59" s="144" t="str">
        <f>IFERROR(VLOOKUP($A59,table3[],3,FALSE),"-")</f>
        <v>-</v>
      </c>
      <c r="E59" s="144" t="str">
        <f>IFERROR(VLOOKUP($A59,Table4[],12,FALSE),"-")</f>
        <v>-</v>
      </c>
      <c r="F59" s="144" t="str">
        <f>IFERROR(VLOOKUP($A59,table5[],3,FALSE),"-")</f>
        <v>-</v>
      </c>
      <c r="G59" s="144" t="str">
        <f>IFERROR(VLOOKUP($A59,table6[],3,FALSE),"-")</f>
        <v>-</v>
      </c>
      <c r="H59" s="144" t="str">
        <f>IFERROR(VLOOKUP($A59,table7[],3,FALSE),"-")</f>
        <v>-</v>
      </c>
      <c r="I59" s="144" t="str">
        <f>IFERROR(VLOOKUP($A59,table8[],3,FALSE),"-")</f>
        <v>-</v>
      </c>
      <c r="J59" s="144" t="str">
        <f>IFERROR(VLOOKUP($A59,table9[],3,FALSE),"-")</f>
        <v>-</v>
      </c>
      <c r="K59" s="144" t="str">
        <f>IFERROR(VLOOKUP($A59,table10[],3,FALSE),"-")</f>
        <v>-</v>
      </c>
      <c r="L59" s="114">
        <f>MAX(Table16[[#This Row],[Otay]:[San V]])</f>
        <v>0</v>
      </c>
    </row>
    <row r="60" spans="1:12" ht="15" x14ac:dyDescent="0.2">
      <c r="A60" s="28"/>
      <c r="B60" s="144" t="str">
        <f>IFERROR(VLOOKUP($A60,table1[],3,FALSE),"-")</f>
        <v>-</v>
      </c>
      <c r="C60" s="144" t="str">
        <f>IFERROR(VLOOKUP($A60,Table2[],12,FALSE),"-")</f>
        <v>-</v>
      </c>
      <c r="D60" s="144" t="str">
        <f>IFERROR(VLOOKUP($A60,table3[],3,FALSE),"-")</f>
        <v>-</v>
      </c>
      <c r="E60" s="144" t="str">
        <f>IFERROR(VLOOKUP($A60,Table4[],12,FALSE),"-")</f>
        <v>-</v>
      </c>
      <c r="F60" s="144" t="str">
        <f>IFERROR(VLOOKUP($A60,table5[],3,FALSE),"-")</f>
        <v>-</v>
      </c>
      <c r="G60" s="144" t="str">
        <f>IFERROR(VLOOKUP($A60,table6[],3,FALSE),"-")</f>
        <v>-</v>
      </c>
      <c r="H60" s="144" t="str">
        <f>IFERROR(VLOOKUP($A60,table7[],3,FALSE),"-")</f>
        <v>-</v>
      </c>
      <c r="I60" s="144" t="str">
        <f>IFERROR(VLOOKUP($A60,table8[],3,FALSE),"-")</f>
        <v>-</v>
      </c>
      <c r="J60" s="144" t="str">
        <f>IFERROR(VLOOKUP($A60,table9[],3,FALSE),"-")</f>
        <v>-</v>
      </c>
      <c r="K60" s="144" t="str">
        <f>IFERROR(VLOOKUP($A60,table10[],3,FALSE),"-")</f>
        <v>-</v>
      </c>
      <c r="L60" s="114">
        <f>MAX(Table16[[#This Row],[Otay]:[San V]])</f>
        <v>0</v>
      </c>
    </row>
    <row r="61" spans="1:12" ht="15" x14ac:dyDescent="0.2">
      <c r="A61" s="122"/>
      <c r="B61" s="144" t="str">
        <f>IFERROR(VLOOKUP($A61,table1[],3,FALSE),"-")</f>
        <v>-</v>
      </c>
      <c r="C61" s="144" t="str">
        <f>IFERROR(VLOOKUP($A61,Table2[],12,FALSE),"-")</f>
        <v>-</v>
      </c>
      <c r="D61" s="144" t="str">
        <f>IFERROR(VLOOKUP($A61,table3[],3,FALSE),"-")</f>
        <v>-</v>
      </c>
      <c r="E61" s="144" t="str">
        <f>IFERROR(VLOOKUP($A61,Table4[],12,FALSE),"-")</f>
        <v>-</v>
      </c>
      <c r="F61" s="144" t="str">
        <f>IFERROR(VLOOKUP($A61,table5[],3,FALSE),"-")</f>
        <v>-</v>
      </c>
      <c r="G61" s="144" t="str">
        <f>IFERROR(VLOOKUP($A61,table6[],3,FALSE),"-")</f>
        <v>-</v>
      </c>
      <c r="H61" s="144" t="str">
        <f>IFERROR(VLOOKUP($A61,table7[],3,FALSE),"-")</f>
        <v>-</v>
      </c>
      <c r="I61" s="144" t="str">
        <f>IFERROR(VLOOKUP($A61,table8[],3,FALSE),"-")</f>
        <v>-</v>
      </c>
      <c r="J61" s="144" t="str">
        <f>IFERROR(VLOOKUP($A61,table9[],3,FALSE),"-")</f>
        <v>-</v>
      </c>
      <c r="K61" s="144" t="str">
        <f>IFERROR(VLOOKUP($A61,table10[],3,FALSE),"-")</f>
        <v>-</v>
      </c>
      <c r="L61" s="114">
        <f>MAX(Table16[[#This Row],[Otay]:[San V]])</f>
        <v>0</v>
      </c>
    </row>
    <row r="62" spans="1:12" ht="15" x14ac:dyDescent="0.2">
      <c r="A62" s="28"/>
      <c r="B62" s="144" t="str">
        <f>IFERROR(VLOOKUP($A62,table1[],3,FALSE),"-")</f>
        <v>-</v>
      </c>
      <c r="C62" s="144" t="str">
        <f>IFERROR(VLOOKUP($A62,Table2[],12,FALSE),"-")</f>
        <v>-</v>
      </c>
      <c r="D62" s="144" t="str">
        <f>IFERROR(VLOOKUP($A62,table3[],3,FALSE),"-")</f>
        <v>-</v>
      </c>
      <c r="E62" s="144" t="str">
        <f>IFERROR(VLOOKUP($A62,Table4[],12,FALSE),"-")</f>
        <v>-</v>
      </c>
      <c r="F62" s="144" t="str">
        <f>IFERROR(VLOOKUP($A62,table5[],3,FALSE),"-")</f>
        <v>-</v>
      </c>
      <c r="G62" s="144" t="str">
        <f>IFERROR(VLOOKUP($A62,table6[],3,FALSE),"-")</f>
        <v>-</v>
      </c>
      <c r="H62" s="144" t="str">
        <f>IFERROR(VLOOKUP($A62,table7[],3,FALSE),"-")</f>
        <v>-</v>
      </c>
      <c r="I62" s="144" t="str">
        <f>IFERROR(VLOOKUP($A62,table8[],3,FALSE),"-")</f>
        <v>-</v>
      </c>
      <c r="J62" s="144" t="str">
        <f>IFERROR(VLOOKUP($A62,table9[],3,FALSE),"-")</f>
        <v>-</v>
      </c>
      <c r="K62" s="144" t="str">
        <f>IFERROR(VLOOKUP($A62,table10[],3,FALSE),"-")</f>
        <v>-</v>
      </c>
      <c r="L62" s="114">
        <f>MAX(Table16[[#This Row],[Otay]:[San V]])</f>
        <v>0</v>
      </c>
    </row>
    <row r="63" spans="1:12" ht="15" x14ac:dyDescent="0.2">
      <c r="A63" s="28"/>
      <c r="B63" s="144" t="str">
        <f>IFERROR(VLOOKUP($A63,table1[],3,FALSE),"-")</f>
        <v>-</v>
      </c>
      <c r="C63" s="144" t="str">
        <f>IFERROR(VLOOKUP($A63,Table2[],12,FALSE),"-")</f>
        <v>-</v>
      </c>
      <c r="D63" s="144" t="str">
        <f>IFERROR(VLOOKUP($A63,table3[],3,FALSE),"-")</f>
        <v>-</v>
      </c>
      <c r="E63" s="144" t="str">
        <f>IFERROR(VLOOKUP($A63,Table4[],12,FALSE),"-")</f>
        <v>-</v>
      </c>
      <c r="F63" s="144" t="str">
        <f>IFERROR(VLOOKUP($A63,table5[],3,FALSE),"-")</f>
        <v>-</v>
      </c>
      <c r="G63" s="144" t="str">
        <f>IFERROR(VLOOKUP($A63,table6[],3,FALSE),"-")</f>
        <v>-</v>
      </c>
      <c r="H63" s="144" t="str">
        <f>IFERROR(VLOOKUP($A63,table7[],3,FALSE),"-")</f>
        <v>-</v>
      </c>
      <c r="I63" s="144" t="str">
        <f>IFERROR(VLOOKUP($A63,table8[],3,FALSE),"-")</f>
        <v>-</v>
      </c>
      <c r="J63" s="144" t="str">
        <f>IFERROR(VLOOKUP($A63,table9[],3,FALSE),"-")</f>
        <v>-</v>
      </c>
      <c r="K63" s="144" t="str">
        <f>IFERROR(VLOOKUP($A63,table10[],3,FALSE),"-")</f>
        <v>-</v>
      </c>
      <c r="L63" s="114">
        <f>MAX(Table16[[#This Row],[Otay]:[San V]])</f>
        <v>0</v>
      </c>
    </row>
    <row r="64" spans="1:12" ht="15" x14ac:dyDescent="0.2">
      <c r="A64" s="28"/>
      <c r="B64" s="144" t="str">
        <f>IFERROR(VLOOKUP($A64,table1[],3,FALSE),"-")</f>
        <v>-</v>
      </c>
      <c r="C64" s="144" t="str">
        <f>IFERROR(VLOOKUP($A64,Table2[],12,FALSE),"-")</f>
        <v>-</v>
      </c>
      <c r="D64" s="144" t="str">
        <f>IFERROR(VLOOKUP($A64,table3[],3,FALSE),"-")</f>
        <v>-</v>
      </c>
      <c r="E64" s="144" t="str">
        <f>IFERROR(VLOOKUP($A64,Table4[],12,FALSE),"-")</f>
        <v>-</v>
      </c>
      <c r="F64" s="144" t="str">
        <f>IFERROR(VLOOKUP($A64,table5[],3,FALSE),"-")</f>
        <v>-</v>
      </c>
      <c r="G64" s="144" t="str">
        <f>IFERROR(VLOOKUP($A64,table6[],3,FALSE),"-")</f>
        <v>-</v>
      </c>
      <c r="H64" s="144" t="str">
        <f>IFERROR(VLOOKUP($A64,table7[],3,FALSE),"-")</f>
        <v>-</v>
      </c>
      <c r="I64" s="144" t="str">
        <f>IFERROR(VLOOKUP($A64,table8[],3,FALSE),"-")</f>
        <v>-</v>
      </c>
      <c r="J64" s="144" t="str">
        <f>IFERROR(VLOOKUP($A64,table9[],3,FALSE),"-")</f>
        <v>-</v>
      </c>
      <c r="K64" s="144" t="str">
        <f>IFERROR(VLOOKUP($A64,table10[],3,FALSE),"-")</f>
        <v>-</v>
      </c>
      <c r="L64" s="114">
        <f>MAX(Table16[[#This Row],[Otay]:[San V]])</f>
        <v>0</v>
      </c>
    </row>
    <row r="65" spans="1:12" ht="15" x14ac:dyDescent="0.2">
      <c r="A65" s="28"/>
      <c r="B65" s="144" t="str">
        <f>IFERROR(VLOOKUP($A65,table1[],3,FALSE),"-")</f>
        <v>-</v>
      </c>
      <c r="C65" s="144" t="str">
        <f>IFERROR(VLOOKUP($A65,Table2[],12,FALSE),"-")</f>
        <v>-</v>
      </c>
      <c r="D65" s="144" t="str">
        <f>IFERROR(VLOOKUP($A65,table3[],3,FALSE),"-")</f>
        <v>-</v>
      </c>
      <c r="E65" s="144" t="str">
        <f>IFERROR(VLOOKUP($A65,Table4[],12,FALSE),"-")</f>
        <v>-</v>
      </c>
      <c r="F65" s="144" t="str">
        <f>IFERROR(VLOOKUP($A65,table5[],3,FALSE),"-")</f>
        <v>-</v>
      </c>
      <c r="G65" s="144" t="str">
        <f>IFERROR(VLOOKUP($A65,table6[],3,FALSE),"-")</f>
        <v>-</v>
      </c>
      <c r="H65" s="144" t="str">
        <f>IFERROR(VLOOKUP($A65,table7[],3,FALSE),"-")</f>
        <v>-</v>
      </c>
      <c r="I65" s="144" t="str">
        <f>IFERROR(VLOOKUP($A65,table8[],3,FALSE),"-")</f>
        <v>-</v>
      </c>
      <c r="J65" s="144" t="str">
        <f>IFERROR(VLOOKUP($A65,table9[],3,FALSE),"-")</f>
        <v>-</v>
      </c>
      <c r="K65" s="144" t="str">
        <f>IFERROR(VLOOKUP($A65,table10[],3,FALSE),"-")</f>
        <v>-</v>
      </c>
      <c r="L65" s="114">
        <f>MAX(Table16[[#This Row],[Otay]:[San V]])</f>
        <v>0</v>
      </c>
    </row>
    <row r="66" spans="1:12" ht="15" x14ac:dyDescent="0.2">
      <c r="A66" s="28"/>
      <c r="B66" s="144" t="str">
        <f>IFERROR(VLOOKUP($A66,table1[],3,FALSE),"-")</f>
        <v>-</v>
      </c>
      <c r="C66" s="144" t="str">
        <f>IFERROR(VLOOKUP($A66,Table2[],12,FALSE),"-")</f>
        <v>-</v>
      </c>
      <c r="D66" s="144" t="str">
        <f>IFERROR(VLOOKUP($A66,table3[],3,FALSE),"-")</f>
        <v>-</v>
      </c>
      <c r="E66" s="144" t="str">
        <f>IFERROR(VLOOKUP($A66,Table4[],12,FALSE),"-")</f>
        <v>-</v>
      </c>
      <c r="F66" s="144" t="str">
        <f>IFERROR(VLOOKUP($A66,table5[],3,FALSE),"-")</f>
        <v>-</v>
      </c>
      <c r="G66" s="144" t="str">
        <f>IFERROR(VLOOKUP($A66,table6[],3,FALSE),"-")</f>
        <v>-</v>
      </c>
      <c r="H66" s="144" t="str">
        <f>IFERROR(VLOOKUP($A66,table7[],3,FALSE),"-")</f>
        <v>-</v>
      </c>
      <c r="I66" s="144" t="str">
        <f>IFERROR(VLOOKUP($A66,table8[],3,FALSE),"-")</f>
        <v>-</v>
      </c>
      <c r="J66" s="144" t="str">
        <f>IFERROR(VLOOKUP($A66,table9[],3,FALSE),"-")</f>
        <v>-</v>
      </c>
      <c r="K66" s="144" t="str">
        <f>IFERROR(VLOOKUP($A66,table10[],3,FALSE),"-")</f>
        <v>-</v>
      </c>
      <c r="L66" s="114">
        <f>MAX(Table16[[#This Row],[Otay]:[San V]])</f>
        <v>0</v>
      </c>
    </row>
    <row r="67" spans="1:12" ht="15" x14ac:dyDescent="0.2">
      <c r="A67" s="28"/>
      <c r="B67" s="144" t="str">
        <f>IFERROR(VLOOKUP($A67,table1[],3,FALSE),"-")</f>
        <v>-</v>
      </c>
      <c r="C67" s="144" t="str">
        <f>IFERROR(VLOOKUP($A67,Table2[],12,FALSE),"-")</f>
        <v>-</v>
      </c>
      <c r="D67" s="144" t="str">
        <f>IFERROR(VLOOKUP($A67,table3[],3,FALSE),"-")</f>
        <v>-</v>
      </c>
      <c r="E67" s="144" t="str">
        <f>IFERROR(VLOOKUP($A67,Table4[],12,FALSE),"-")</f>
        <v>-</v>
      </c>
      <c r="F67" s="144" t="str">
        <f>IFERROR(VLOOKUP($A67,table5[],3,FALSE),"-")</f>
        <v>-</v>
      </c>
      <c r="G67" s="144" t="str">
        <f>IFERROR(VLOOKUP($A67,table6[],3,FALSE),"-")</f>
        <v>-</v>
      </c>
      <c r="H67" s="144" t="str">
        <f>IFERROR(VLOOKUP($A67,table7[],3,FALSE),"-")</f>
        <v>-</v>
      </c>
      <c r="I67" s="144" t="str">
        <f>IFERROR(VLOOKUP($A67,table8[],3,FALSE),"-")</f>
        <v>-</v>
      </c>
      <c r="J67" s="144" t="str">
        <f>IFERROR(VLOOKUP($A67,table9[],3,FALSE),"-")</f>
        <v>-</v>
      </c>
      <c r="K67" s="144" t="str">
        <f>IFERROR(VLOOKUP($A67,table10[],3,FALSE),"-")</f>
        <v>-</v>
      </c>
      <c r="L67" s="114">
        <f>MAX(Table16[[#This Row],[Otay]:[San V]])</f>
        <v>0</v>
      </c>
    </row>
    <row r="68" spans="1:12" ht="15" x14ac:dyDescent="0.2">
      <c r="A68" s="28"/>
      <c r="B68" s="144" t="str">
        <f>IFERROR(VLOOKUP($A68,table1[],3,FALSE),"-")</f>
        <v>-</v>
      </c>
      <c r="C68" s="144" t="str">
        <f>IFERROR(VLOOKUP($A68,Table2[],12,FALSE),"-")</f>
        <v>-</v>
      </c>
      <c r="D68" s="144" t="str">
        <f>IFERROR(VLOOKUP($A68,table3[],3,FALSE),"-")</f>
        <v>-</v>
      </c>
      <c r="E68" s="144" t="str">
        <f>IFERROR(VLOOKUP($A68,Table4[],12,FALSE),"-")</f>
        <v>-</v>
      </c>
      <c r="F68" s="144" t="str">
        <f>IFERROR(VLOOKUP($A68,table5[],3,FALSE),"-")</f>
        <v>-</v>
      </c>
      <c r="G68" s="144" t="str">
        <f>IFERROR(VLOOKUP($A68,table6[],3,FALSE),"-")</f>
        <v>-</v>
      </c>
      <c r="H68" s="144" t="str">
        <f>IFERROR(VLOOKUP($A68,table7[],3,FALSE),"-")</f>
        <v>-</v>
      </c>
      <c r="I68" s="144" t="str">
        <f>IFERROR(VLOOKUP($A68,table8[],3,FALSE),"-")</f>
        <v>-</v>
      </c>
      <c r="J68" s="144" t="str">
        <f>IFERROR(VLOOKUP($A68,table9[],3,FALSE),"-")</f>
        <v>-</v>
      </c>
      <c r="K68" s="144" t="str">
        <f>IFERROR(VLOOKUP($A68,table10[],3,FALSE),"-")</f>
        <v>-</v>
      </c>
      <c r="L68" s="114">
        <f>MAX(Table16[[#This Row],[Otay]:[San V]])</f>
        <v>0</v>
      </c>
    </row>
    <row r="69" spans="1:12" ht="15" x14ac:dyDescent="0.2">
      <c r="A69" s="28"/>
      <c r="B69" s="144" t="str">
        <f>IFERROR(VLOOKUP($A69,table1[],3,FALSE),"-")</f>
        <v>-</v>
      </c>
      <c r="C69" s="144" t="str">
        <f>IFERROR(VLOOKUP($A69,Table2[],12,FALSE),"-")</f>
        <v>-</v>
      </c>
      <c r="D69" s="144" t="str">
        <f>IFERROR(VLOOKUP($A69,table3[],3,FALSE),"-")</f>
        <v>-</v>
      </c>
      <c r="E69" s="144" t="str">
        <f>IFERROR(VLOOKUP($A69,Table4[],12,FALSE),"-")</f>
        <v>-</v>
      </c>
      <c r="F69" s="144" t="str">
        <f>IFERROR(VLOOKUP($A69,table5[],3,FALSE),"-")</f>
        <v>-</v>
      </c>
      <c r="G69" s="144" t="str">
        <f>IFERROR(VLOOKUP($A69,table6[],3,FALSE),"-")</f>
        <v>-</v>
      </c>
      <c r="H69" s="144" t="str">
        <f>IFERROR(VLOOKUP($A69,table7[],3,FALSE),"-")</f>
        <v>-</v>
      </c>
      <c r="I69" s="144" t="str">
        <f>IFERROR(VLOOKUP($A69,table8[],3,FALSE),"-")</f>
        <v>-</v>
      </c>
      <c r="J69" s="144" t="str">
        <f>IFERROR(VLOOKUP($A69,table9[],3,FALSE),"-")</f>
        <v>-</v>
      </c>
      <c r="K69" s="144" t="str">
        <f>IFERROR(VLOOKUP($A69,table10[],3,FALSE),"-")</f>
        <v>-</v>
      </c>
      <c r="L69" s="114">
        <f>MAX(Table16[[#This Row],[Otay]:[San V]])</f>
        <v>0</v>
      </c>
    </row>
    <row r="70" spans="1:12" ht="15" x14ac:dyDescent="0.2">
      <c r="A70" s="28"/>
      <c r="B70" s="144" t="str">
        <f>IFERROR(VLOOKUP($A70,table1[],3,FALSE),"-")</f>
        <v>-</v>
      </c>
      <c r="C70" s="144" t="str">
        <f>IFERROR(VLOOKUP($A70,Table2[],12,FALSE),"-")</f>
        <v>-</v>
      </c>
      <c r="D70" s="144" t="str">
        <f>IFERROR(VLOOKUP($A70,table3[],3,FALSE),"-")</f>
        <v>-</v>
      </c>
      <c r="E70" s="144" t="str">
        <f>IFERROR(VLOOKUP($A70,Table4[],12,FALSE),"-")</f>
        <v>-</v>
      </c>
      <c r="F70" s="144" t="str">
        <f>IFERROR(VLOOKUP($A70,table5[],3,FALSE),"-")</f>
        <v>-</v>
      </c>
      <c r="G70" s="144" t="str">
        <f>IFERROR(VLOOKUP($A70,table6[],3,FALSE),"-")</f>
        <v>-</v>
      </c>
      <c r="H70" s="144" t="str">
        <f>IFERROR(VLOOKUP($A70,table7[],3,FALSE),"-")</f>
        <v>-</v>
      </c>
      <c r="I70" s="144" t="str">
        <f>IFERROR(VLOOKUP($A70,table8[],3,FALSE),"-")</f>
        <v>-</v>
      </c>
      <c r="J70" s="144" t="str">
        <f>IFERROR(VLOOKUP($A70,table9[],3,FALSE),"-")</f>
        <v>-</v>
      </c>
      <c r="K70" s="144" t="str">
        <f>IFERROR(VLOOKUP($A70,table10[],3,FALSE),"-")</f>
        <v>-</v>
      </c>
      <c r="L70" s="114">
        <f>MAX(Table16[[#This Row],[Otay]:[San V]])</f>
        <v>0</v>
      </c>
    </row>
    <row r="71" spans="1:12" ht="15" x14ac:dyDescent="0.2">
      <c r="A71" s="28"/>
      <c r="B71" s="144" t="str">
        <f>IFERROR(VLOOKUP($A71,table1[],3,FALSE),"-")</f>
        <v>-</v>
      </c>
      <c r="C71" s="144" t="str">
        <f>IFERROR(VLOOKUP($A71,Table2[],12,FALSE),"-")</f>
        <v>-</v>
      </c>
      <c r="D71" s="144" t="str">
        <f>IFERROR(VLOOKUP($A71,table3[],3,FALSE),"-")</f>
        <v>-</v>
      </c>
      <c r="E71" s="144" t="str">
        <f>IFERROR(VLOOKUP($A71,Table4[],12,FALSE),"-")</f>
        <v>-</v>
      </c>
      <c r="F71" s="144" t="str">
        <f>IFERROR(VLOOKUP($A71,table5[],3,FALSE),"-")</f>
        <v>-</v>
      </c>
      <c r="G71" s="144" t="str">
        <f>IFERROR(VLOOKUP($A71,table6[],3,FALSE),"-")</f>
        <v>-</v>
      </c>
      <c r="H71" s="144" t="str">
        <f>IFERROR(VLOOKUP($A71,table7[],3,FALSE),"-")</f>
        <v>-</v>
      </c>
      <c r="I71" s="144" t="str">
        <f>IFERROR(VLOOKUP($A71,table8[],3,FALSE),"-")</f>
        <v>-</v>
      </c>
      <c r="J71" s="144" t="str">
        <f>IFERROR(VLOOKUP($A71,table9[],3,FALSE),"-")</f>
        <v>-</v>
      </c>
      <c r="K71" s="144" t="str">
        <f>IFERROR(VLOOKUP($A71,table10[],3,FALSE),"-")</f>
        <v>-</v>
      </c>
      <c r="L71" s="114">
        <f>MAX(Table16[[#This Row],[Otay]:[San V]])</f>
        <v>0</v>
      </c>
    </row>
    <row r="72" spans="1:12" ht="15" x14ac:dyDescent="0.2">
      <c r="A72" s="28"/>
      <c r="B72" s="144" t="str">
        <f>IFERROR(VLOOKUP($A72,table1[],3,FALSE),"-")</f>
        <v>-</v>
      </c>
      <c r="C72" s="144" t="str">
        <f>IFERROR(VLOOKUP($A72,Table2[],12,FALSE),"-")</f>
        <v>-</v>
      </c>
      <c r="D72" s="144" t="str">
        <f>IFERROR(VLOOKUP($A72,table3[],3,FALSE),"-")</f>
        <v>-</v>
      </c>
      <c r="E72" s="144" t="str">
        <f>IFERROR(VLOOKUP($A72,Table4[],12,FALSE),"-")</f>
        <v>-</v>
      </c>
      <c r="F72" s="144" t="str">
        <f>IFERROR(VLOOKUP($A72,table5[],3,FALSE),"-")</f>
        <v>-</v>
      </c>
      <c r="G72" s="144" t="str">
        <f>IFERROR(VLOOKUP($A72,table6[],3,FALSE),"-")</f>
        <v>-</v>
      </c>
      <c r="H72" s="144" t="str">
        <f>IFERROR(VLOOKUP($A72,table7[],3,FALSE),"-")</f>
        <v>-</v>
      </c>
      <c r="I72" s="144" t="str">
        <f>IFERROR(VLOOKUP($A72,table8[],3,FALSE),"-")</f>
        <v>-</v>
      </c>
      <c r="J72" s="144" t="str">
        <f>IFERROR(VLOOKUP($A72,table9[],3,FALSE),"-")</f>
        <v>-</v>
      </c>
      <c r="K72" s="144" t="str">
        <f>IFERROR(VLOOKUP($A72,table10[],3,FALSE),"-")</f>
        <v>-</v>
      </c>
      <c r="L72" s="114">
        <f>MAX(Table16[[#This Row],[Otay]:[San V]])</f>
        <v>0</v>
      </c>
    </row>
    <row r="73" spans="1:12" ht="15" x14ac:dyDescent="0.2">
      <c r="A73" s="28"/>
      <c r="B73" s="144" t="str">
        <f>IFERROR(VLOOKUP($A73,table1[],3,FALSE),"-")</f>
        <v>-</v>
      </c>
      <c r="C73" s="144" t="str">
        <f>IFERROR(VLOOKUP($A73,Table2[],12,FALSE),"-")</f>
        <v>-</v>
      </c>
      <c r="D73" s="144" t="str">
        <f>IFERROR(VLOOKUP($A73,table3[],3,FALSE),"-")</f>
        <v>-</v>
      </c>
      <c r="E73" s="144" t="str">
        <f>IFERROR(VLOOKUP($A73,Table4[],12,FALSE),"-")</f>
        <v>-</v>
      </c>
      <c r="F73" s="144" t="str">
        <f>IFERROR(VLOOKUP($A73,table5[],3,FALSE),"-")</f>
        <v>-</v>
      </c>
      <c r="G73" s="144" t="str">
        <f>IFERROR(VLOOKUP($A73,table6[],3,FALSE),"-")</f>
        <v>-</v>
      </c>
      <c r="H73" s="144" t="str">
        <f>IFERROR(VLOOKUP($A73,table7[],3,FALSE),"-")</f>
        <v>-</v>
      </c>
      <c r="I73" s="144" t="str">
        <f>IFERROR(VLOOKUP($A73,table8[],3,FALSE),"-")</f>
        <v>-</v>
      </c>
      <c r="J73" s="144" t="str">
        <f>IFERROR(VLOOKUP($A73,table9[],3,FALSE),"-")</f>
        <v>-</v>
      </c>
      <c r="K73" s="144" t="str">
        <f>IFERROR(VLOOKUP($A73,table10[],3,FALSE),"-")</f>
        <v>-</v>
      </c>
      <c r="L73" s="114">
        <f>MAX(Table16[[#This Row],[Otay]:[San V]])</f>
        <v>0</v>
      </c>
    </row>
    <row r="74" spans="1:12" ht="15" x14ac:dyDescent="0.2">
      <c r="A74" s="28"/>
      <c r="B74" s="144" t="str">
        <f>IFERROR(VLOOKUP($A74,table1[],3,FALSE),"-")</f>
        <v>-</v>
      </c>
      <c r="C74" s="144" t="str">
        <f>IFERROR(VLOOKUP($A74,Table2[],12,FALSE),"-")</f>
        <v>-</v>
      </c>
      <c r="D74" s="144" t="str">
        <f>IFERROR(VLOOKUP($A74,table3[],3,FALSE),"-")</f>
        <v>-</v>
      </c>
      <c r="E74" s="144" t="str">
        <f>IFERROR(VLOOKUP($A74,Table4[],12,FALSE),"-")</f>
        <v>-</v>
      </c>
      <c r="F74" s="144" t="str">
        <f>IFERROR(VLOOKUP($A74,table5[],3,FALSE),"-")</f>
        <v>-</v>
      </c>
      <c r="G74" s="144" t="str">
        <f>IFERROR(VLOOKUP($A74,table6[],3,FALSE),"-")</f>
        <v>-</v>
      </c>
      <c r="H74" s="144" t="str">
        <f>IFERROR(VLOOKUP($A74,table7[],3,FALSE),"-")</f>
        <v>-</v>
      </c>
      <c r="I74" s="144" t="str">
        <f>IFERROR(VLOOKUP($A74,table8[],3,FALSE),"-")</f>
        <v>-</v>
      </c>
      <c r="J74" s="144" t="str">
        <f>IFERROR(VLOOKUP($A74,table9[],3,FALSE),"-")</f>
        <v>-</v>
      </c>
      <c r="K74" s="144" t="str">
        <f>IFERROR(VLOOKUP($A74,table10[],3,FALSE),"-")</f>
        <v>-</v>
      </c>
      <c r="L74" s="114">
        <f>MAX(Table16[[#This Row],[Otay]:[San V]])</f>
        <v>0</v>
      </c>
    </row>
    <row r="75" spans="1:12" ht="15" x14ac:dyDescent="0.2">
      <c r="A75" s="28"/>
      <c r="B75" s="144" t="str">
        <f>IFERROR(VLOOKUP($A75,table1[],3,FALSE),"-")</f>
        <v>-</v>
      </c>
      <c r="C75" s="144" t="str">
        <f>IFERROR(VLOOKUP($A75,Table2[],12,FALSE),"-")</f>
        <v>-</v>
      </c>
      <c r="D75" s="144" t="str">
        <f>IFERROR(VLOOKUP($A75,table3[],3,FALSE),"-")</f>
        <v>-</v>
      </c>
      <c r="E75" s="144" t="str">
        <f>IFERROR(VLOOKUP($A75,Table4[],12,FALSE),"-")</f>
        <v>-</v>
      </c>
      <c r="F75" s="144" t="str">
        <f>IFERROR(VLOOKUP($A75,table5[],3,FALSE),"-")</f>
        <v>-</v>
      </c>
      <c r="G75" s="144" t="str">
        <f>IFERROR(VLOOKUP($A75,table6[],3,FALSE),"-")</f>
        <v>-</v>
      </c>
      <c r="H75" s="144" t="str">
        <f>IFERROR(VLOOKUP($A75,table7[],3,FALSE),"-")</f>
        <v>-</v>
      </c>
      <c r="I75" s="144" t="str">
        <f>IFERROR(VLOOKUP($A75,table8[],3,FALSE),"-")</f>
        <v>-</v>
      </c>
      <c r="J75" s="144" t="str">
        <f>IFERROR(VLOOKUP($A75,table9[],3,FALSE),"-")</f>
        <v>-</v>
      </c>
      <c r="K75" s="144" t="str">
        <f>IFERROR(VLOOKUP($A75,table10[],3,FALSE),"-")</f>
        <v>-</v>
      </c>
      <c r="L75" s="114">
        <f>MAX(Table16[[#This Row],[Otay]:[San V]])</f>
        <v>0</v>
      </c>
    </row>
    <row r="76" spans="1:12" ht="15" x14ac:dyDescent="0.2">
      <c r="A76" s="28"/>
      <c r="B76" s="144" t="str">
        <f>IFERROR(VLOOKUP($A76,table1[],3,FALSE),"-")</f>
        <v>-</v>
      </c>
      <c r="C76" s="144" t="str">
        <f>IFERROR(VLOOKUP($A76,Table2[],12,FALSE),"-")</f>
        <v>-</v>
      </c>
      <c r="D76" s="144" t="str">
        <f>IFERROR(VLOOKUP($A76,table3[],3,FALSE),"-")</f>
        <v>-</v>
      </c>
      <c r="E76" s="144" t="str">
        <f>IFERROR(VLOOKUP($A76,Table4[],12,FALSE),"-")</f>
        <v>-</v>
      </c>
      <c r="F76" s="144" t="str">
        <f>IFERROR(VLOOKUP($A76,table5[],3,FALSE),"-")</f>
        <v>-</v>
      </c>
      <c r="G76" s="144" t="str">
        <f>IFERROR(VLOOKUP($A76,table6[],3,FALSE),"-")</f>
        <v>-</v>
      </c>
      <c r="H76" s="144" t="str">
        <f>IFERROR(VLOOKUP($A76,table7[],3,FALSE),"-")</f>
        <v>-</v>
      </c>
      <c r="I76" s="144" t="str">
        <f>IFERROR(VLOOKUP($A76,table8[],3,FALSE),"-")</f>
        <v>-</v>
      </c>
      <c r="J76" s="144" t="str">
        <f>IFERROR(VLOOKUP($A76,table9[],3,FALSE),"-")</f>
        <v>-</v>
      </c>
      <c r="K76" s="144" t="str">
        <f>IFERROR(VLOOKUP($A76,table10[],3,FALSE),"-")</f>
        <v>-</v>
      </c>
      <c r="L76" s="114">
        <f>MAX(Table16[[#This Row],[Otay]:[San V]])</f>
        <v>0</v>
      </c>
    </row>
    <row r="77" spans="1:12" ht="15" x14ac:dyDescent="0.2">
      <c r="A77" s="28"/>
      <c r="B77" s="144" t="str">
        <f>IFERROR(VLOOKUP($A77,table1[],3,FALSE),"-")</f>
        <v>-</v>
      </c>
      <c r="C77" s="144" t="str">
        <f>IFERROR(VLOOKUP($A77,Table2[],12,FALSE),"-")</f>
        <v>-</v>
      </c>
      <c r="D77" s="144" t="str">
        <f>IFERROR(VLOOKUP($A77,table3[],3,FALSE),"-")</f>
        <v>-</v>
      </c>
      <c r="E77" s="144" t="str">
        <f>IFERROR(VLOOKUP($A77,Table4[],12,FALSE),"-")</f>
        <v>-</v>
      </c>
      <c r="F77" s="144" t="str">
        <f>IFERROR(VLOOKUP($A77,table5[],3,FALSE),"-")</f>
        <v>-</v>
      </c>
      <c r="G77" s="144" t="str">
        <f>IFERROR(VLOOKUP($A77,table6[],3,FALSE),"-")</f>
        <v>-</v>
      </c>
      <c r="H77" s="144" t="str">
        <f>IFERROR(VLOOKUP($A77,table7[],3,FALSE),"-")</f>
        <v>-</v>
      </c>
      <c r="I77" s="144" t="str">
        <f>IFERROR(VLOOKUP($A77,table8[],3,FALSE),"-")</f>
        <v>-</v>
      </c>
      <c r="J77" s="144" t="str">
        <f>IFERROR(VLOOKUP($A77,table9[],3,FALSE),"-")</f>
        <v>-</v>
      </c>
      <c r="K77" s="144" t="str">
        <f>IFERROR(VLOOKUP($A77,table10[],3,FALSE),"-")</f>
        <v>-</v>
      </c>
      <c r="L77" s="114">
        <f>MAX(Table16[[#This Row],[Otay]:[San V]])</f>
        <v>0</v>
      </c>
    </row>
  </sheetData>
  <conditionalFormatting sqref="A2:A37 A39:A77">
    <cfRule type="duplicateValues" dxfId="4" priority="15"/>
    <cfRule type="duplicateValues" dxfId="3" priority="16"/>
  </conditionalFormatting>
  <conditionalFormatting sqref="A38">
    <cfRule type="duplicateValues" dxfId="2" priority="1"/>
  </conditionalFormatting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NameVal!$A:$A</xm:f>
          </x14:formula1>
          <xm:sqref>A38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H60"/>
  <sheetViews>
    <sheetView topLeftCell="B1" zoomScale="70" zoomScaleNormal="70" workbookViewId="0">
      <selection activeCell="C56" sqref="C56:C60"/>
    </sheetView>
  </sheetViews>
  <sheetFormatPr defaultColWidth="9.140625" defaultRowHeight="15.75" x14ac:dyDescent="0.25"/>
  <cols>
    <col min="1" max="1" width="12.85546875" style="5" customWidth="1"/>
    <col min="2" max="2" width="21.42578125" style="1" bestFit="1" customWidth="1"/>
    <col min="3" max="3" width="24.85546875" style="55" bestFit="1" customWidth="1"/>
    <col min="4" max="4" width="15.140625" style="55" bestFit="1" customWidth="1"/>
    <col min="5" max="5" width="16.140625" style="1" bestFit="1" customWidth="1"/>
    <col min="6" max="6" width="21.28515625" style="1" bestFit="1" customWidth="1"/>
    <col min="7" max="7" width="19.5703125" style="1" bestFit="1" customWidth="1"/>
    <col min="8" max="8" width="20.42578125" style="1" bestFit="1" customWidth="1"/>
    <col min="9" max="16384" width="9.140625" style="2"/>
  </cols>
  <sheetData>
    <row r="1" spans="1:8" ht="31.5" x14ac:dyDescent="0.6">
      <c r="A1" s="157" t="s">
        <v>209</v>
      </c>
      <c r="B1" s="157"/>
      <c r="C1" s="157"/>
      <c r="D1" s="157"/>
      <c r="E1" s="157"/>
      <c r="F1" s="157"/>
      <c r="G1" s="157"/>
      <c r="H1" s="157"/>
    </row>
    <row r="2" spans="1:8" ht="20.25" x14ac:dyDescent="0.3">
      <c r="A2" s="158" t="s">
        <v>225</v>
      </c>
      <c r="B2" s="158"/>
      <c r="C2" s="158"/>
      <c r="D2" s="158"/>
      <c r="E2" s="158"/>
      <c r="F2" s="158"/>
      <c r="G2" s="158"/>
      <c r="H2" s="158"/>
    </row>
    <row r="3" spans="1:8" s="81" customFormat="1" x14ac:dyDescent="0.25">
      <c r="A3" s="82" t="s">
        <v>175</v>
      </c>
      <c r="B3" s="90" t="s">
        <v>22</v>
      </c>
      <c r="C3" s="91" t="s">
        <v>204</v>
      </c>
      <c r="D3" s="92" t="s">
        <v>174</v>
      </c>
      <c r="E3" s="92" t="s">
        <v>205</v>
      </c>
      <c r="F3" s="92" t="s">
        <v>172</v>
      </c>
      <c r="G3" s="92" t="s">
        <v>206</v>
      </c>
      <c r="H3" s="93" t="s">
        <v>207</v>
      </c>
    </row>
    <row r="4" spans="1:8" ht="15" x14ac:dyDescent="0.2">
      <c r="A4" s="84">
        <v>1</v>
      </c>
      <c r="B4" s="84"/>
      <c r="C4" s="84"/>
      <c r="D4" s="85"/>
      <c r="E4" s="85"/>
      <c r="F4" s="85"/>
      <c r="G4" s="85">
        <f t="shared" ref="G4:G53" si="0">E4-F4</f>
        <v>0</v>
      </c>
      <c r="H4" s="26">
        <f t="shared" ref="H4:H53" si="1">IF(A4&lt;31,33-A4,2)</f>
        <v>32</v>
      </c>
    </row>
    <row r="5" spans="1:8" ht="15" x14ac:dyDescent="0.2">
      <c r="A5" s="87">
        <v>2</v>
      </c>
      <c r="B5" s="87"/>
      <c r="C5" s="87"/>
      <c r="D5" s="88"/>
      <c r="E5" s="88"/>
      <c r="F5" s="88"/>
      <c r="G5" s="88">
        <f t="shared" si="0"/>
        <v>0</v>
      </c>
      <c r="H5" s="87">
        <f t="shared" si="1"/>
        <v>31</v>
      </c>
    </row>
    <row r="6" spans="1:8" ht="15" x14ac:dyDescent="0.2">
      <c r="A6" s="84">
        <v>3</v>
      </c>
      <c r="B6" s="84"/>
      <c r="C6" s="84"/>
      <c r="D6" s="85"/>
      <c r="E6" s="85"/>
      <c r="F6" s="85"/>
      <c r="G6" s="85">
        <f t="shared" si="0"/>
        <v>0</v>
      </c>
      <c r="H6" s="84">
        <f t="shared" si="1"/>
        <v>30</v>
      </c>
    </row>
    <row r="7" spans="1:8" ht="15" x14ac:dyDescent="0.2">
      <c r="A7" s="87">
        <v>4</v>
      </c>
      <c r="B7" s="87"/>
      <c r="C7" s="87"/>
      <c r="D7" s="88"/>
      <c r="E7" s="88"/>
      <c r="F7" s="88"/>
      <c r="G7" s="88">
        <f t="shared" si="0"/>
        <v>0</v>
      </c>
      <c r="H7" s="87">
        <f t="shared" si="1"/>
        <v>29</v>
      </c>
    </row>
    <row r="8" spans="1:8" ht="15" x14ac:dyDescent="0.2">
      <c r="A8" s="84">
        <v>5</v>
      </c>
      <c r="B8" s="84"/>
      <c r="C8" s="84"/>
      <c r="D8" s="85"/>
      <c r="E8" s="85"/>
      <c r="F8" s="85"/>
      <c r="G8" s="85">
        <f t="shared" si="0"/>
        <v>0</v>
      </c>
      <c r="H8" s="84">
        <f t="shared" si="1"/>
        <v>28</v>
      </c>
    </row>
    <row r="9" spans="1:8" ht="15" x14ac:dyDescent="0.2">
      <c r="A9" s="87">
        <v>6</v>
      </c>
      <c r="B9" s="87"/>
      <c r="C9" s="87"/>
      <c r="D9" s="88"/>
      <c r="E9" s="88"/>
      <c r="F9" s="88"/>
      <c r="G9" s="88">
        <f t="shared" si="0"/>
        <v>0</v>
      </c>
      <c r="H9" s="87">
        <f t="shared" si="1"/>
        <v>27</v>
      </c>
    </row>
    <row r="10" spans="1:8" ht="15" x14ac:dyDescent="0.2">
      <c r="A10" s="84">
        <v>7</v>
      </c>
      <c r="B10" s="84"/>
      <c r="C10" s="84"/>
      <c r="D10" s="85"/>
      <c r="E10" s="85"/>
      <c r="F10" s="85"/>
      <c r="G10" s="85">
        <f t="shared" si="0"/>
        <v>0</v>
      </c>
      <c r="H10" s="84">
        <f t="shared" si="1"/>
        <v>26</v>
      </c>
    </row>
    <row r="11" spans="1:8" ht="15" x14ac:dyDescent="0.2">
      <c r="A11" s="87">
        <v>8</v>
      </c>
      <c r="B11" s="87"/>
      <c r="C11" s="87"/>
      <c r="D11" s="88"/>
      <c r="E11" s="88"/>
      <c r="F11" s="88"/>
      <c r="G11" s="88">
        <f t="shared" si="0"/>
        <v>0</v>
      </c>
      <c r="H11" s="87">
        <f t="shared" si="1"/>
        <v>25</v>
      </c>
    </row>
    <row r="12" spans="1:8" ht="15" x14ac:dyDescent="0.2">
      <c r="A12" s="84">
        <v>9</v>
      </c>
      <c r="B12" s="84"/>
      <c r="C12" s="84"/>
      <c r="D12" s="85"/>
      <c r="E12" s="85"/>
      <c r="F12" s="85"/>
      <c r="G12" s="85">
        <f t="shared" si="0"/>
        <v>0</v>
      </c>
      <c r="H12" s="84">
        <f t="shared" si="1"/>
        <v>24</v>
      </c>
    </row>
    <row r="13" spans="1:8" ht="15" x14ac:dyDescent="0.2">
      <c r="A13" s="87">
        <v>10</v>
      </c>
      <c r="B13" s="87"/>
      <c r="C13" s="87"/>
      <c r="D13" s="88"/>
      <c r="E13" s="88"/>
      <c r="F13" s="88"/>
      <c r="G13" s="88">
        <f t="shared" si="0"/>
        <v>0</v>
      </c>
      <c r="H13" s="87">
        <f t="shared" si="1"/>
        <v>23</v>
      </c>
    </row>
    <row r="14" spans="1:8" ht="15" x14ac:dyDescent="0.2">
      <c r="A14" s="84">
        <v>11</v>
      </c>
      <c r="B14" s="84"/>
      <c r="C14" s="84"/>
      <c r="D14" s="85"/>
      <c r="E14" s="85"/>
      <c r="F14" s="85"/>
      <c r="G14" s="85">
        <f t="shared" si="0"/>
        <v>0</v>
      </c>
      <c r="H14" s="84">
        <f t="shared" si="1"/>
        <v>22</v>
      </c>
    </row>
    <row r="15" spans="1:8" ht="15" x14ac:dyDescent="0.2">
      <c r="A15" s="87">
        <v>12</v>
      </c>
      <c r="B15" s="87"/>
      <c r="C15" s="87"/>
      <c r="D15" s="88"/>
      <c r="E15" s="88"/>
      <c r="F15" s="88"/>
      <c r="G15" s="88">
        <f t="shared" si="0"/>
        <v>0</v>
      </c>
      <c r="H15" s="87">
        <f t="shared" si="1"/>
        <v>21</v>
      </c>
    </row>
    <row r="16" spans="1:8" ht="15" x14ac:dyDescent="0.2">
      <c r="A16" s="84">
        <v>13</v>
      </c>
      <c r="B16" s="84"/>
      <c r="C16" s="84"/>
      <c r="D16" s="85"/>
      <c r="E16" s="85"/>
      <c r="F16" s="85"/>
      <c r="G16" s="85">
        <f t="shared" si="0"/>
        <v>0</v>
      </c>
      <c r="H16" s="84">
        <f t="shared" si="1"/>
        <v>20</v>
      </c>
    </row>
    <row r="17" spans="1:8" ht="15" x14ac:dyDescent="0.2">
      <c r="A17" s="87">
        <v>14</v>
      </c>
      <c r="B17" s="87"/>
      <c r="C17" s="87"/>
      <c r="D17" s="88"/>
      <c r="E17" s="88"/>
      <c r="F17" s="88"/>
      <c r="G17" s="88">
        <f t="shared" si="0"/>
        <v>0</v>
      </c>
      <c r="H17" s="87">
        <f t="shared" si="1"/>
        <v>19</v>
      </c>
    </row>
    <row r="18" spans="1:8" ht="15" x14ac:dyDescent="0.2">
      <c r="A18" s="89">
        <v>15</v>
      </c>
      <c r="B18" s="89"/>
      <c r="C18" s="84"/>
      <c r="D18" s="85"/>
      <c r="E18" s="85"/>
      <c r="F18" s="85"/>
      <c r="G18" s="85">
        <f t="shared" si="0"/>
        <v>0</v>
      </c>
      <c r="H18" s="84">
        <f t="shared" si="1"/>
        <v>18</v>
      </c>
    </row>
    <row r="19" spans="1:8" ht="15" x14ac:dyDescent="0.2">
      <c r="A19" s="87">
        <v>16</v>
      </c>
      <c r="B19" s="87"/>
      <c r="C19" s="87"/>
      <c r="D19" s="88"/>
      <c r="E19" s="88"/>
      <c r="F19" s="88"/>
      <c r="G19" s="88">
        <f t="shared" si="0"/>
        <v>0</v>
      </c>
      <c r="H19" s="87">
        <f t="shared" si="1"/>
        <v>17</v>
      </c>
    </row>
    <row r="20" spans="1:8" ht="15" x14ac:dyDescent="0.2">
      <c r="A20" s="84">
        <v>17</v>
      </c>
      <c r="B20" s="84"/>
      <c r="C20" s="84"/>
      <c r="D20" s="85"/>
      <c r="E20" s="85"/>
      <c r="F20" s="85"/>
      <c r="G20" s="85">
        <f t="shared" si="0"/>
        <v>0</v>
      </c>
      <c r="H20" s="84">
        <f t="shared" si="1"/>
        <v>16</v>
      </c>
    </row>
    <row r="21" spans="1:8" ht="15" x14ac:dyDescent="0.2">
      <c r="A21" s="87">
        <v>18</v>
      </c>
      <c r="B21" s="87"/>
      <c r="C21" s="87"/>
      <c r="D21" s="88"/>
      <c r="E21" s="88"/>
      <c r="F21" s="88"/>
      <c r="G21" s="88">
        <f t="shared" si="0"/>
        <v>0</v>
      </c>
      <c r="H21" s="87">
        <f t="shared" si="1"/>
        <v>15</v>
      </c>
    </row>
    <row r="22" spans="1:8" ht="15" x14ac:dyDescent="0.2">
      <c r="A22" s="84">
        <v>19</v>
      </c>
      <c r="B22" s="84"/>
      <c r="C22" s="84"/>
      <c r="D22" s="85"/>
      <c r="E22" s="85"/>
      <c r="F22" s="85"/>
      <c r="G22" s="85">
        <f t="shared" si="0"/>
        <v>0</v>
      </c>
      <c r="H22" s="84">
        <f t="shared" si="1"/>
        <v>14</v>
      </c>
    </row>
    <row r="23" spans="1:8" ht="15" x14ac:dyDescent="0.2">
      <c r="A23" s="87">
        <v>20</v>
      </c>
      <c r="B23" s="87"/>
      <c r="C23" s="87"/>
      <c r="D23" s="88"/>
      <c r="E23" s="88"/>
      <c r="F23" s="88"/>
      <c r="G23" s="88">
        <f t="shared" si="0"/>
        <v>0</v>
      </c>
      <c r="H23" s="87">
        <f t="shared" si="1"/>
        <v>13</v>
      </c>
    </row>
    <row r="24" spans="1:8" ht="15" x14ac:dyDescent="0.2">
      <c r="A24" s="84">
        <v>21</v>
      </c>
      <c r="B24" s="84"/>
      <c r="C24" s="84"/>
      <c r="D24" s="85"/>
      <c r="E24" s="85"/>
      <c r="F24" s="85"/>
      <c r="G24" s="85">
        <f t="shared" si="0"/>
        <v>0</v>
      </c>
      <c r="H24" s="84">
        <f t="shared" si="1"/>
        <v>12</v>
      </c>
    </row>
    <row r="25" spans="1:8" ht="15" x14ac:dyDescent="0.2">
      <c r="A25" s="87">
        <v>22</v>
      </c>
      <c r="B25" s="87"/>
      <c r="C25" s="87"/>
      <c r="D25" s="88"/>
      <c r="E25" s="88"/>
      <c r="F25" s="88"/>
      <c r="G25" s="88">
        <f t="shared" si="0"/>
        <v>0</v>
      </c>
      <c r="H25" s="87">
        <f t="shared" si="1"/>
        <v>11</v>
      </c>
    </row>
    <row r="26" spans="1:8" ht="15" x14ac:dyDescent="0.2">
      <c r="A26" s="84">
        <v>23</v>
      </c>
      <c r="B26" s="84"/>
      <c r="C26" s="84"/>
      <c r="D26" s="85"/>
      <c r="E26" s="85"/>
      <c r="F26" s="85"/>
      <c r="G26" s="85">
        <f t="shared" si="0"/>
        <v>0</v>
      </c>
      <c r="H26" s="84">
        <f t="shared" si="1"/>
        <v>10</v>
      </c>
    </row>
    <row r="27" spans="1:8" ht="15" x14ac:dyDescent="0.2">
      <c r="A27" s="87">
        <v>24</v>
      </c>
      <c r="B27" s="87"/>
      <c r="C27" s="87"/>
      <c r="D27" s="88"/>
      <c r="E27" s="88"/>
      <c r="F27" s="88"/>
      <c r="G27" s="88">
        <f t="shared" si="0"/>
        <v>0</v>
      </c>
      <c r="H27" s="87">
        <f t="shared" si="1"/>
        <v>9</v>
      </c>
    </row>
    <row r="28" spans="1:8" ht="15" x14ac:dyDescent="0.2">
      <c r="A28" s="84">
        <v>25</v>
      </c>
      <c r="B28" s="84"/>
      <c r="C28" s="84"/>
      <c r="D28" s="85"/>
      <c r="E28" s="85"/>
      <c r="F28" s="85"/>
      <c r="G28" s="85">
        <f t="shared" si="0"/>
        <v>0</v>
      </c>
      <c r="H28" s="84">
        <f t="shared" si="1"/>
        <v>8</v>
      </c>
    </row>
    <row r="29" spans="1:8" ht="15" x14ac:dyDescent="0.2">
      <c r="A29" s="87">
        <v>26</v>
      </c>
      <c r="B29" s="87"/>
      <c r="C29" s="87"/>
      <c r="D29" s="88"/>
      <c r="E29" s="88"/>
      <c r="F29" s="88"/>
      <c r="G29" s="88">
        <f t="shared" si="0"/>
        <v>0</v>
      </c>
      <c r="H29" s="87">
        <f t="shared" si="1"/>
        <v>7</v>
      </c>
    </row>
    <row r="30" spans="1:8" ht="15" x14ac:dyDescent="0.2">
      <c r="A30" s="84">
        <v>27</v>
      </c>
      <c r="B30" s="84"/>
      <c r="C30" s="84"/>
      <c r="D30" s="85"/>
      <c r="E30" s="85"/>
      <c r="F30" s="85"/>
      <c r="G30" s="85">
        <f t="shared" si="0"/>
        <v>0</v>
      </c>
      <c r="H30" s="84">
        <f t="shared" si="1"/>
        <v>6</v>
      </c>
    </row>
    <row r="31" spans="1:8" ht="15" x14ac:dyDescent="0.2">
      <c r="A31" s="87">
        <v>28</v>
      </c>
      <c r="B31" s="87"/>
      <c r="C31" s="87"/>
      <c r="D31" s="88"/>
      <c r="E31" s="88"/>
      <c r="F31" s="88"/>
      <c r="G31" s="88">
        <f t="shared" si="0"/>
        <v>0</v>
      </c>
      <c r="H31" s="87">
        <f t="shared" si="1"/>
        <v>5</v>
      </c>
    </row>
    <row r="32" spans="1:8" ht="15" x14ac:dyDescent="0.2">
      <c r="A32" s="84">
        <v>29</v>
      </c>
      <c r="B32" s="84"/>
      <c r="C32" s="84"/>
      <c r="D32" s="85"/>
      <c r="E32" s="85"/>
      <c r="F32" s="85"/>
      <c r="G32" s="85">
        <f t="shared" si="0"/>
        <v>0</v>
      </c>
      <c r="H32" s="84">
        <f t="shared" si="1"/>
        <v>4</v>
      </c>
    </row>
    <row r="33" spans="1:8" ht="15" x14ac:dyDescent="0.2">
      <c r="A33" s="87">
        <v>30</v>
      </c>
      <c r="B33" s="87"/>
      <c r="C33" s="87"/>
      <c r="D33" s="88"/>
      <c r="E33" s="88"/>
      <c r="F33" s="88"/>
      <c r="G33" s="88">
        <f t="shared" si="0"/>
        <v>0</v>
      </c>
      <c r="H33" s="87">
        <f t="shared" si="1"/>
        <v>3</v>
      </c>
    </row>
    <row r="34" spans="1:8" ht="15" x14ac:dyDescent="0.2">
      <c r="A34" s="84">
        <v>31</v>
      </c>
      <c r="B34" s="102"/>
      <c r="C34" s="102"/>
      <c r="D34" s="105"/>
      <c r="E34" s="105"/>
      <c r="F34" s="105"/>
      <c r="G34" s="105">
        <f t="shared" si="0"/>
        <v>0</v>
      </c>
      <c r="H34" s="102">
        <f t="shared" si="1"/>
        <v>2</v>
      </c>
    </row>
    <row r="35" spans="1:8" ht="15" x14ac:dyDescent="0.2">
      <c r="A35" s="87">
        <v>32</v>
      </c>
      <c r="B35" s="102"/>
      <c r="C35" s="102"/>
      <c r="D35" s="105"/>
      <c r="E35" s="105"/>
      <c r="F35" s="105"/>
      <c r="G35" s="105">
        <f t="shared" si="0"/>
        <v>0</v>
      </c>
      <c r="H35" s="102">
        <f t="shared" si="1"/>
        <v>2</v>
      </c>
    </row>
    <row r="36" spans="1:8" ht="15" x14ac:dyDescent="0.2">
      <c r="A36" s="84">
        <v>33</v>
      </c>
      <c r="B36" s="102"/>
      <c r="C36" s="102"/>
      <c r="D36" s="105"/>
      <c r="E36" s="105"/>
      <c r="F36" s="105"/>
      <c r="G36" s="105">
        <f t="shared" si="0"/>
        <v>0</v>
      </c>
      <c r="H36" s="102">
        <f t="shared" si="1"/>
        <v>2</v>
      </c>
    </row>
    <row r="37" spans="1:8" ht="15" x14ac:dyDescent="0.2">
      <c r="A37" s="87">
        <v>34</v>
      </c>
      <c r="B37" s="102"/>
      <c r="C37" s="102"/>
      <c r="D37" s="105"/>
      <c r="E37" s="105"/>
      <c r="F37" s="105"/>
      <c r="G37" s="105">
        <f t="shared" si="0"/>
        <v>0</v>
      </c>
      <c r="H37" s="102">
        <f t="shared" si="1"/>
        <v>2</v>
      </c>
    </row>
    <row r="38" spans="1:8" ht="15" x14ac:dyDescent="0.2">
      <c r="A38" s="84">
        <v>35</v>
      </c>
      <c r="B38" s="102"/>
      <c r="C38" s="102"/>
      <c r="D38" s="105"/>
      <c r="E38" s="105"/>
      <c r="F38" s="105"/>
      <c r="G38" s="105">
        <f t="shared" si="0"/>
        <v>0</v>
      </c>
      <c r="H38" s="102">
        <f t="shared" si="1"/>
        <v>2</v>
      </c>
    </row>
    <row r="39" spans="1:8" ht="15" x14ac:dyDescent="0.2">
      <c r="A39" s="87">
        <v>36</v>
      </c>
      <c r="B39" s="102"/>
      <c r="C39" s="102"/>
      <c r="D39" s="105"/>
      <c r="E39" s="105"/>
      <c r="F39" s="105"/>
      <c r="G39" s="105">
        <f t="shared" si="0"/>
        <v>0</v>
      </c>
      <c r="H39" s="102">
        <f t="shared" si="1"/>
        <v>2</v>
      </c>
    </row>
    <row r="40" spans="1:8" ht="15" x14ac:dyDescent="0.2">
      <c r="A40" s="84">
        <v>37</v>
      </c>
      <c r="B40" s="102"/>
      <c r="C40" s="102"/>
      <c r="D40" s="105"/>
      <c r="E40" s="105"/>
      <c r="F40" s="105"/>
      <c r="G40" s="105">
        <f t="shared" si="0"/>
        <v>0</v>
      </c>
      <c r="H40" s="102">
        <f t="shared" si="1"/>
        <v>2</v>
      </c>
    </row>
    <row r="41" spans="1:8" ht="15" x14ac:dyDescent="0.2">
      <c r="A41" s="87">
        <v>38</v>
      </c>
      <c r="B41" s="102"/>
      <c r="C41" s="102"/>
      <c r="D41" s="105"/>
      <c r="E41" s="105"/>
      <c r="F41" s="105"/>
      <c r="G41" s="105">
        <f t="shared" si="0"/>
        <v>0</v>
      </c>
      <c r="H41" s="102">
        <f t="shared" si="1"/>
        <v>2</v>
      </c>
    </row>
    <row r="42" spans="1:8" ht="15" x14ac:dyDescent="0.2">
      <c r="A42" s="84">
        <v>39</v>
      </c>
      <c r="B42" s="102"/>
      <c r="C42" s="102"/>
      <c r="D42" s="105"/>
      <c r="E42" s="105"/>
      <c r="F42" s="105"/>
      <c r="G42" s="105">
        <f t="shared" si="0"/>
        <v>0</v>
      </c>
      <c r="H42" s="102">
        <f t="shared" si="1"/>
        <v>2</v>
      </c>
    </row>
    <row r="43" spans="1:8" ht="15" x14ac:dyDescent="0.2">
      <c r="A43" s="87">
        <v>40</v>
      </c>
      <c r="B43" s="102"/>
      <c r="C43" s="102"/>
      <c r="D43" s="105"/>
      <c r="E43" s="105"/>
      <c r="F43" s="105"/>
      <c r="G43" s="105">
        <f t="shared" si="0"/>
        <v>0</v>
      </c>
      <c r="H43" s="102">
        <f t="shared" si="1"/>
        <v>2</v>
      </c>
    </row>
    <row r="44" spans="1:8" ht="15" x14ac:dyDescent="0.2">
      <c r="A44" s="84">
        <v>41</v>
      </c>
      <c r="B44" s="102"/>
      <c r="C44" s="102"/>
      <c r="D44" s="105"/>
      <c r="E44" s="105"/>
      <c r="F44" s="105"/>
      <c r="G44" s="105">
        <f t="shared" si="0"/>
        <v>0</v>
      </c>
      <c r="H44" s="102">
        <f t="shared" si="1"/>
        <v>2</v>
      </c>
    </row>
    <row r="45" spans="1:8" ht="15" x14ac:dyDescent="0.2">
      <c r="A45" s="87">
        <v>42</v>
      </c>
      <c r="B45" s="102"/>
      <c r="C45" s="102"/>
      <c r="D45" s="105"/>
      <c r="E45" s="105"/>
      <c r="F45" s="105"/>
      <c r="G45" s="105">
        <f t="shared" si="0"/>
        <v>0</v>
      </c>
      <c r="H45" s="102">
        <f t="shared" si="1"/>
        <v>2</v>
      </c>
    </row>
    <row r="46" spans="1:8" ht="15" x14ac:dyDescent="0.2">
      <c r="A46" s="84">
        <v>43</v>
      </c>
      <c r="B46" s="102"/>
      <c r="C46" s="102"/>
      <c r="D46" s="105"/>
      <c r="E46" s="105"/>
      <c r="F46" s="105"/>
      <c r="G46" s="105">
        <f t="shared" si="0"/>
        <v>0</v>
      </c>
      <c r="H46" s="102">
        <f t="shared" si="1"/>
        <v>2</v>
      </c>
    </row>
    <row r="47" spans="1:8" ht="15" x14ac:dyDescent="0.2">
      <c r="A47" s="87">
        <v>44</v>
      </c>
      <c r="B47" s="102"/>
      <c r="C47" s="102"/>
      <c r="D47" s="105"/>
      <c r="E47" s="105"/>
      <c r="F47" s="105"/>
      <c r="G47" s="105">
        <f t="shared" si="0"/>
        <v>0</v>
      </c>
      <c r="H47" s="102">
        <f t="shared" si="1"/>
        <v>2</v>
      </c>
    </row>
    <row r="48" spans="1:8" ht="15" x14ac:dyDescent="0.2">
      <c r="A48" s="84">
        <v>45</v>
      </c>
      <c r="B48" s="102"/>
      <c r="C48" s="102"/>
      <c r="D48" s="105"/>
      <c r="E48" s="105"/>
      <c r="F48" s="105"/>
      <c r="G48" s="105">
        <f t="shared" si="0"/>
        <v>0</v>
      </c>
      <c r="H48" s="102">
        <f t="shared" si="1"/>
        <v>2</v>
      </c>
    </row>
    <row r="49" spans="1:8" ht="15" x14ac:dyDescent="0.2">
      <c r="A49" s="87">
        <v>46</v>
      </c>
      <c r="B49" s="102"/>
      <c r="C49" s="102"/>
      <c r="D49" s="105"/>
      <c r="E49" s="105"/>
      <c r="F49" s="105"/>
      <c r="G49" s="105">
        <f t="shared" si="0"/>
        <v>0</v>
      </c>
      <c r="H49" s="102">
        <f t="shared" si="1"/>
        <v>2</v>
      </c>
    </row>
    <row r="50" spans="1:8" ht="15" x14ac:dyDescent="0.2">
      <c r="A50" s="84">
        <v>47</v>
      </c>
      <c r="B50" s="102"/>
      <c r="C50" s="102"/>
      <c r="D50" s="105"/>
      <c r="E50" s="105"/>
      <c r="F50" s="105"/>
      <c r="G50" s="105">
        <f t="shared" si="0"/>
        <v>0</v>
      </c>
      <c r="H50" s="102">
        <f t="shared" si="1"/>
        <v>2</v>
      </c>
    </row>
    <row r="51" spans="1:8" ht="15" x14ac:dyDescent="0.2">
      <c r="A51" s="87">
        <v>48</v>
      </c>
      <c r="B51" s="102"/>
      <c r="C51" s="102"/>
      <c r="D51" s="105"/>
      <c r="E51" s="105"/>
      <c r="F51" s="105"/>
      <c r="G51" s="105">
        <f t="shared" si="0"/>
        <v>0</v>
      </c>
      <c r="H51" s="102">
        <f t="shared" si="1"/>
        <v>2</v>
      </c>
    </row>
    <row r="52" spans="1:8" ht="15" x14ac:dyDescent="0.2">
      <c r="A52" s="84">
        <v>49</v>
      </c>
      <c r="B52" s="102"/>
      <c r="C52" s="102"/>
      <c r="D52" s="105"/>
      <c r="E52" s="105"/>
      <c r="F52" s="105"/>
      <c r="G52" s="105">
        <f t="shared" si="0"/>
        <v>0</v>
      </c>
      <c r="H52" s="102">
        <f t="shared" si="1"/>
        <v>2</v>
      </c>
    </row>
    <row r="53" spans="1:8" ht="15" x14ac:dyDescent="0.2">
      <c r="A53" s="87">
        <v>50</v>
      </c>
      <c r="B53" s="102"/>
      <c r="C53" s="102"/>
      <c r="D53" s="105"/>
      <c r="E53" s="105"/>
      <c r="F53" s="105"/>
      <c r="G53" s="105">
        <f t="shared" si="0"/>
        <v>0</v>
      </c>
      <c r="H53" s="102">
        <f t="shared" si="1"/>
        <v>2</v>
      </c>
    </row>
    <row r="54" spans="1:8" ht="15" x14ac:dyDescent="0.2">
      <c r="A54" s="103"/>
      <c r="B54" s="103"/>
      <c r="C54" s="103"/>
      <c r="D54" s="104"/>
      <c r="E54" s="104"/>
      <c r="F54" s="104"/>
      <c r="G54" s="104"/>
      <c r="H54" s="103"/>
    </row>
    <row r="55" spans="1:8" ht="15" x14ac:dyDescent="0.2">
      <c r="A55" s="26"/>
      <c r="B55" s="26"/>
      <c r="C55" s="26"/>
      <c r="D55" s="26"/>
      <c r="E55" s="27"/>
      <c r="F55" s="27"/>
      <c r="G55" s="27"/>
      <c r="H55" s="26"/>
    </row>
    <row r="56" spans="1:8" ht="15" x14ac:dyDescent="0.2">
      <c r="A56" s="156" t="s">
        <v>85</v>
      </c>
      <c r="B56" s="156"/>
      <c r="C56" s="38">
        <f>COUNT(Table2791112[Number of Fish])</f>
        <v>0</v>
      </c>
      <c r="D56" s="38"/>
      <c r="E56" s="38"/>
      <c r="F56" s="39"/>
      <c r="G56" s="39"/>
      <c r="H56" s="47"/>
    </row>
    <row r="57" spans="1:8" ht="15" x14ac:dyDescent="0.2">
      <c r="A57" s="156" t="s">
        <v>86</v>
      </c>
      <c r="B57" s="156"/>
      <c r="C57" s="38">
        <f>SUM(Table2791112[Number of Fish])</f>
        <v>0</v>
      </c>
      <c r="D57" s="38"/>
      <c r="E57" s="38"/>
      <c r="F57" s="39"/>
      <c r="G57" s="39"/>
      <c r="H57" s="47"/>
    </row>
    <row r="58" spans="1:8" ht="15" x14ac:dyDescent="0.2">
      <c r="A58" s="156" t="s">
        <v>87</v>
      </c>
      <c r="B58" s="156"/>
      <c r="C58" s="39">
        <f>SUM(Table2791112[Total Weight])</f>
        <v>0</v>
      </c>
      <c r="D58" s="38"/>
      <c r="E58" s="39"/>
      <c r="F58" s="39"/>
      <c r="G58" s="39"/>
      <c r="H58" s="46"/>
    </row>
    <row r="59" spans="1:8" ht="15" x14ac:dyDescent="0.2">
      <c r="A59" s="156" t="s">
        <v>88</v>
      </c>
      <c r="B59" s="156"/>
      <c r="C59" s="39" t="e">
        <f>C58/C57</f>
        <v>#DIV/0!</v>
      </c>
      <c r="D59" s="38"/>
      <c r="E59" s="48"/>
      <c r="F59" s="39"/>
      <c r="G59" s="39"/>
      <c r="H59" s="46"/>
    </row>
    <row r="60" spans="1:8" ht="15" x14ac:dyDescent="0.2">
      <c r="A60" s="156" t="s">
        <v>89</v>
      </c>
      <c r="B60" s="156"/>
      <c r="C60" s="38" t="e">
        <f>C57/C56</f>
        <v>#DIV/0!</v>
      </c>
      <c r="D60" s="38"/>
      <c r="E60" s="39"/>
      <c r="F60" s="39"/>
      <c r="G60" s="39"/>
      <c r="H60" s="46"/>
    </row>
  </sheetData>
  <mergeCells count="7">
    <mergeCell ref="A60:B60"/>
    <mergeCell ref="A1:H1"/>
    <mergeCell ref="A2:H2"/>
    <mergeCell ref="A56:B56"/>
    <mergeCell ref="A57:B57"/>
    <mergeCell ref="A58:B58"/>
    <mergeCell ref="A59:B59"/>
  </mergeCells>
  <printOptions horizontalCentered="1" verticalCentered="1"/>
  <pageMargins left="0.25" right="0.25" top="0.25" bottom="0.25" header="0" footer="0"/>
  <pageSetup scale="83" orientation="portrait" r:id="rId1"/>
  <headerFooter alignWithMargins="0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Q62"/>
  <sheetViews>
    <sheetView zoomScale="55" zoomScaleNormal="55" workbookViewId="0">
      <pane ySplit="1" topLeftCell="A2" activePane="bottomLeft" state="frozen"/>
      <selection sqref="A1:N1"/>
      <selection pane="bottomLeft" activeCell="M70" sqref="M70"/>
    </sheetView>
  </sheetViews>
  <sheetFormatPr defaultColWidth="9.140625" defaultRowHeight="12.75" x14ac:dyDescent="0.2"/>
  <cols>
    <col min="1" max="1" width="3.85546875" style="2" bestFit="1" customWidth="1"/>
    <col min="2" max="2" width="38.5703125" style="75" customWidth="1"/>
    <col min="3" max="3" width="24.42578125" style="2" bestFit="1" customWidth="1"/>
    <col min="4" max="4" width="16.85546875" style="2" bestFit="1" customWidth="1"/>
    <col min="5" max="5" width="21.5703125" style="2" bestFit="1" customWidth="1"/>
    <col min="6" max="6" width="16" style="2" bestFit="1" customWidth="1"/>
    <col min="7" max="7" width="19.5703125" style="2" bestFit="1" customWidth="1"/>
    <col min="8" max="8" width="25.85546875" style="2" bestFit="1" customWidth="1"/>
    <col min="9" max="9" width="18.140625" style="2" bestFit="1" customWidth="1"/>
    <col min="10" max="10" width="22.85546875" style="2" bestFit="1" customWidth="1"/>
    <col min="11" max="11" width="17.28515625" style="2" bestFit="1" customWidth="1"/>
    <col min="12" max="12" width="21" style="2" bestFit="1" customWidth="1"/>
    <col min="13" max="13" width="24" style="2" bestFit="1" customWidth="1"/>
    <col min="14" max="14" width="22" style="2" bestFit="1" customWidth="1"/>
    <col min="15" max="15" width="16.85546875" style="2" bestFit="1" customWidth="1"/>
    <col min="16" max="16" width="16.7109375" style="2" bestFit="1" customWidth="1"/>
    <col min="17" max="16384" width="9.140625" style="2"/>
  </cols>
  <sheetData>
    <row r="1" spans="1:16" ht="33" x14ac:dyDescent="0.45">
      <c r="A1" s="160" t="s">
        <v>241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1"/>
    </row>
    <row r="2" spans="1:16" ht="20.25" x14ac:dyDescent="0.3">
      <c r="A2" s="162" t="s">
        <v>243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1"/>
    </row>
    <row r="3" spans="1:16" ht="18" x14ac:dyDescent="0.2">
      <c r="A3" s="58"/>
      <c r="B3" s="74"/>
      <c r="C3" s="57"/>
      <c r="D3" s="145"/>
      <c r="E3" s="145" t="s">
        <v>217</v>
      </c>
      <c r="F3" s="145"/>
      <c r="G3" s="57"/>
      <c r="H3" s="59"/>
      <c r="I3" s="145"/>
      <c r="J3" s="145" t="s">
        <v>218</v>
      </c>
      <c r="K3" s="145"/>
      <c r="L3" s="145"/>
      <c r="M3" s="164" t="s">
        <v>1</v>
      </c>
      <c r="N3" s="165"/>
      <c r="O3" s="165"/>
      <c r="P3" s="57"/>
    </row>
    <row r="4" spans="1:16" s="3" customFormat="1" x14ac:dyDescent="0.2">
      <c r="A4" s="58"/>
      <c r="B4" s="74" t="s">
        <v>22</v>
      </c>
      <c r="C4" s="57" t="s">
        <v>204</v>
      </c>
      <c r="D4" s="57" t="s">
        <v>174</v>
      </c>
      <c r="E4" s="57" t="s">
        <v>205</v>
      </c>
      <c r="F4" s="57" t="s">
        <v>172</v>
      </c>
      <c r="G4" s="57" t="s">
        <v>206</v>
      </c>
      <c r="H4" s="60" t="s">
        <v>213</v>
      </c>
      <c r="I4" s="57" t="s">
        <v>210</v>
      </c>
      <c r="J4" s="57" t="s">
        <v>211</v>
      </c>
      <c r="K4" s="57" t="s">
        <v>216</v>
      </c>
      <c r="L4" s="57" t="s">
        <v>215</v>
      </c>
      <c r="M4" s="60" t="s">
        <v>214</v>
      </c>
      <c r="N4" s="57" t="s">
        <v>212</v>
      </c>
      <c r="O4" s="57" t="s">
        <v>0</v>
      </c>
      <c r="P4" s="57" t="s">
        <v>25</v>
      </c>
    </row>
    <row r="5" spans="1:16" s="3" customFormat="1" ht="15" x14ac:dyDescent="0.2">
      <c r="A5" s="56">
        <v>1</v>
      </c>
      <c r="B5" s="100"/>
      <c r="C5" s="52"/>
      <c r="D5" s="51"/>
      <c r="E5" s="50"/>
      <c r="F5" s="51"/>
      <c r="G5" s="50">
        <f>SUM(E5-F5)</f>
        <v>0</v>
      </c>
      <c r="H5" s="99"/>
      <c r="I5" s="51"/>
      <c r="J5" s="51"/>
      <c r="K5" s="51"/>
      <c r="L5" s="50">
        <f>SUM(J5-K5)</f>
        <v>0</v>
      </c>
      <c r="M5" s="61">
        <f>MAX(D5,I5)</f>
        <v>0</v>
      </c>
      <c r="N5" s="52">
        <f>SUM(C5+H5)</f>
        <v>0</v>
      </c>
      <c r="O5" s="50">
        <f>SUM(G5+L5)</f>
        <v>0</v>
      </c>
      <c r="P5" s="62">
        <f>IF(A5&lt;31,33-A5,2)</f>
        <v>32</v>
      </c>
    </row>
    <row r="6" spans="1:16" s="3" customFormat="1" ht="14.1" customHeight="1" x14ac:dyDescent="0.2">
      <c r="A6" s="56">
        <v>2</v>
      </c>
      <c r="B6" s="100"/>
      <c r="C6" s="52"/>
      <c r="D6" s="51"/>
      <c r="E6" s="50"/>
      <c r="F6" s="51"/>
      <c r="G6" s="50">
        <f t="shared" ref="G6:G55" si="0">SUM(E6-F6)</f>
        <v>0</v>
      </c>
      <c r="H6" s="99"/>
      <c r="I6" s="51"/>
      <c r="J6" s="51"/>
      <c r="K6" s="51"/>
      <c r="L6" s="50">
        <f t="shared" ref="L6:L55" si="1">SUM(J6-K6)</f>
        <v>0</v>
      </c>
      <c r="M6" s="61">
        <f t="shared" ref="M6:M55" si="2">MAX(D6,I6)</f>
        <v>0</v>
      </c>
      <c r="N6" s="52">
        <f t="shared" ref="N6:N55" si="3">SUM(C6+H6)</f>
        <v>0</v>
      </c>
      <c r="O6" s="50">
        <f t="shared" ref="O6:O55" si="4">SUM(G6+L6)</f>
        <v>0</v>
      </c>
      <c r="P6" s="62">
        <f t="shared" ref="P6:P55" si="5">IF(A6&lt;31,33-A6,2)</f>
        <v>31</v>
      </c>
    </row>
    <row r="7" spans="1:16" s="3" customFormat="1" ht="14.1" customHeight="1" x14ac:dyDescent="0.2">
      <c r="A7" s="56">
        <v>3</v>
      </c>
      <c r="B7" s="100"/>
      <c r="C7" s="52"/>
      <c r="D7" s="51"/>
      <c r="E7" s="50"/>
      <c r="F7" s="51"/>
      <c r="G7" s="50">
        <f t="shared" si="0"/>
        <v>0</v>
      </c>
      <c r="H7" s="99"/>
      <c r="I7" s="51"/>
      <c r="J7" s="50"/>
      <c r="K7" s="51"/>
      <c r="L7" s="50">
        <f t="shared" si="1"/>
        <v>0</v>
      </c>
      <c r="M7" s="61">
        <f t="shared" si="2"/>
        <v>0</v>
      </c>
      <c r="N7" s="52">
        <f t="shared" si="3"/>
        <v>0</v>
      </c>
      <c r="O7" s="50">
        <f t="shared" si="4"/>
        <v>0</v>
      </c>
      <c r="P7" s="62">
        <f t="shared" si="5"/>
        <v>30</v>
      </c>
    </row>
    <row r="8" spans="1:16" s="3" customFormat="1" ht="14.1" customHeight="1" x14ac:dyDescent="0.2">
      <c r="A8" s="56">
        <v>4</v>
      </c>
      <c r="B8" s="100"/>
      <c r="C8" s="52"/>
      <c r="D8" s="51"/>
      <c r="E8" s="50"/>
      <c r="F8" s="51"/>
      <c r="G8" s="50">
        <f t="shared" si="0"/>
        <v>0</v>
      </c>
      <c r="H8" s="99"/>
      <c r="I8" s="51"/>
      <c r="J8" s="51"/>
      <c r="K8" s="51"/>
      <c r="L8" s="50">
        <f t="shared" si="1"/>
        <v>0</v>
      </c>
      <c r="M8" s="61">
        <f t="shared" si="2"/>
        <v>0</v>
      </c>
      <c r="N8" s="52">
        <f t="shared" si="3"/>
        <v>0</v>
      </c>
      <c r="O8" s="50">
        <f t="shared" si="4"/>
        <v>0</v>
      </c>
      <c r="P8" s="62">
        <f t="shared" si="5"/>
        <v>29</v>
      </c>
    </row>
    <row r="9" spans="1:16" s="3" customFormat="1" ht="14.1" customHeight="1" x14ac:dyDescent="0.2">
      <c r="A9" s="56">
        <v>5</v>
      </c>
      <c r="B9" s="100"/>
      <c r="C9" s="52"/>
      <c r="D9" s="51"/>
      <c r="E9" s="50"/>
      <c r="F9" s="51"/>
      <c r="G9" s="50">
        <f t="shared" si="0"/>
        <v>0</v>
      </c>
      <c r="H9" s="99"/>
      <c r="I9" s="51"/>
      <c r="J9" s="51"/>
      <c r="K9" s="51"/>
      <c r="L9" s="50">
        <f t="shared" si="1"/>
        <v>0</v>
      </c>
      <c r="M9" s="61">
        <f t="shared" si="2"/>
        <v>0</v>
      </c>
      <c r="N9" s="52">
        <f t="shared" si="3"/>
        <v>0</v>
      </c>
      <c r="O9" s="50">
        <f t="shared" si="4"/>
        <v>0</v>
      </c>
      <c r="P9" s="62">
        <f t="shared" si="5"/>
        <v>28</v>
      </c>
    </row>
    <row r="10" spans="1:16" ht="14.1" customHeight="1" x14ac:dyDescent="0.2">
      <c r="A10" s="56">
        <v>6</v>
      </c>
      <c r="B10" s="100"/>
      <c r="C10" s="52"/>
      <c r="D10" s="51"/>
      <c r="E10" s="50"/>
      <c r="F10" s="51"/>
      <c r="G10" s="50">
        <f t="shared" si="0"/>
        <v>0</v>
      </c>
      <c r="H10" s="99"/>
      <c r="I10" s="51"/>
      <c r="J10" s="51"/>
      <c r="K10" s="51"/>
      <c r="L10" s="50">
        <f t="shared" si="1"/>
        <v>0</v>
      </c>
      <c r="M10" s="61">
        <f t="shared" si="2"/>
        <v>0</v>
      </c>
      <c r="N10" s="52">
        <f t="shared" si="3"/>
        <v>0</v>
      </c>
      <c r="O10" s="50">
        <f t="shared" si="4"/>
        <v>0</v>
      </c>
      <c r="P10" s="62">
        <f t="shared" si="5"/>
        <v>27</v>
      </c>
    </row>
    <row r="11" spans="1:16" ht="14.1" customHeight="1" x14ac:dyDescent="0.2">
      <c r="A11" s="56">
        <v>7</v>
      </c>
      <c r="B11" s="100"/>
      <c r="C11" s="52"/>
      <c r="D11" s="51"/>
      <c r="E11" s="50"/>
      <c r="F11" s="51"/>
      <c r="G11" s="50">
        <f t="shared" si="0"/>
        <v>0</v>
      </c>
      <c r="H11" s="99"/>
      <c r="I11" s="51"/>
      <c r="J11" s="51"/>
      <c r="K11" s="51"/>
      <c r="L11" s="50">
        <f t="shared" si="1"/>
        <v>0</v>
      </c>
      <c r="M11" s="61">
        <f t="shared" si="2"/>
        <v>0</v>
      </c>
      <c r="N11" s="52">
        <f t="shared" si="3"/>
        <v>0</v>
      </c>
      <c r="O11" s="50">
        <f t="shared" si="4"/>
        <v>0</v>
      </c>
      <c r="P11" s="62">
        <f t="shared" si="5"/>
        <v>26</v>
      </c>
    </row>
    <row r="12" spans="1:16" ht="14.1" customHeight="1" x14ac:dyDescent="0.2">
      <c r="A12" s="56">
        <v>8</v>
      </c>
      <c r="B12" s="100"/>
      <c r="C12" s="52"/>
      <c r="D12" s="51"/>
      <c r="E12" s="50"/>
      <c r="F12" s="51"/>
      <c r="G12" s="50">
        <f t="shared" si="0"/>
        <v>0</v>
      </c>
      <c r="H12" s="99"/>
      <c r="I12" s="51"/>
      <c r="J12" s="51"/>
      <c r="K12" s="51"/>
      <c r="L12" s="50">
        <f t="shared" si="1"/>
        <v>0</v>
      </c>
      <c r="M12" s="61">
        <f t="shared" si="2"/>
        <v>0</v>
      </c>
      <c r="N12" s="52">
        <f t="shared" si="3"/>
        <v>0</v>
      </c>
      <c r="O12" s="50">
        <f t="shared" si="4"/>
        <v>0</v>
      </c>
      <c r="P12" s="62">
        <f t="shared" si="5"/>
        <v>25</v>
      </c>
    </row>
    <row r="13" spans="1:16" ht="15" x14ac:dyDescent="0.2">
      <c r="A13" s="56">
        <v>9</v>
      </c>
      <c r="B13" s="100"/>
      <c r="C13" s="52"/>
      <c r="D13" s="51"/>
      <c r="E13" s="50"/>
      <c r="F13" s="51"/>
      <c r="G13" s="50">
        <f t="shared" si="0"/>
        <v>0</v>
      </c>
      <c r="H13" s="99"/>
      <c r="I13" s="51"/>
      <c r="J13" s="51"/>
      <c r="K13" s="51"/>
      <c r="L13" s="50">
        <f t="shared" si="1"/>
        <v>0</v>
      </c>
      <c r="M13" s="61">
        <f t="shared" si="2"/>
        <v>0</v>
      </c>
      <c r="N13" s="52">
        <f t="shared" si="3"/>
        <v>0</v>
      </c>
      <c r="O13" s="50">
        <f t="shared" si="4"/>
        <v>0</v>
      </c>
      <c r="P13" s="62">
        <f t="shared" si="5"/>
        <v>24</v>
      </c>
    </row>
    <row r="14" spans="1:16" ht="15" x14ac:dyDescent="0.2">
      <c r="A14" s="56">
        <v>10</v>
      </c>
      <c r="B14" s="100"/>
      <c r="C14" s="52"/>
      <c r="D14" s="51"/>
      <c r="E14" s="50"/>
      <c r="F14" s="51"/>
      <c r="G14" s="50">
        <f t="shared" si="0"/>
        <v>0</v>
      </c>
      <c r="H14" s="99"/>
      <c r="I14" s="51"/>
      <c r="J14" s="51"/>
      <c r="K14" s="51"/>
      <c r="L14" s="50">
        <f t="shared" si="1"/>
        <v>0</v>
      </c>
      <c r="M14" s="61">
        <f t="shared" si="2"/>
        <v>0</v>
      </c>
      <c r="N14" s="52">
        <f t="shared" si="3"/>
        <v>0</v>
      </c>
      <c r="O14" s="50">
        <f t="shared" si="4"/>
        <v>0</v>
      </c>
      <c r="P14" s="62">
        <f t="shared" si="5"/>
        <v>23</v>
      </c>
    </row>
    <row r="15" spans="1:16" ht="15" x14ac:dyDescent="0.2">
      <c r="A15" s="56">
        <v>11</v>
      </c>
      <c r="B15" s="100"/>
      <c r="C15" s="52"/>
      <c r="D15" s="51"/>
      <c r="E15" s="50"/>
      <c r="F15" s="51"/>
      <c r="G15" s="50">
        <f t="shared" si="0"/>
        <v>0</v>
      </c>
      <c r="H15" s="99"/>
      <c r="I15" s="51"/>
      <c r="J15" s="51"/>
      <c r="K15" s="51"/>
      <c r="L15" s="50">
        <f t="shared" si="1"/>
        <v>0</v>
      </c>
      <c r="M15" s="61">
        <f t="shared" si="2"/>
        <v>0</v>
      </c>
      <c r="N15" s="52">
        <f t="shared" si="3"/>
        <v>0</v>
      </c>
      <c r="O15" s="50">
        <f t="shared" si="4"/>
        <v>0</v>
      </c>
      <c r="P15" s="62">
        <f t="shared" si="5"/>
        <v>22</v>
      </c>
    </row>
    <row r="16" spans="1:16" ht="15" x14ac:dyDescent="0.2">
      <c r="A16" s="56">
        <v>12</v>
      </c>
      <c r="B16" s="100"/>
      <c r="C16" s="52"/>
      <c r="D16" s="51"/>
      <c r="E16" s="50"/>
      <c r="F16" s="51"/>
      <c r="G16" s="50">
        <f t="shared" si="0"/>
        <v>0</v>
      </c>
      <c r="H16" s="99"/>
      <c r="I16" s="51"/>
      <c r="J16" s="50"/>
      <c r="K16" s="51"/>
      <c r="L16" s="50">
        <f t="shared" si="1"/>
        <v>0</v>
      </c>
      <c r="M16" s="61">
        <f t="shared" si="2"/>
        <v>0</v>
      </c>
      <c r="N16" s="52">
        <f t="shared" si="3"/>
        <v>0</v>
      </c>
      <c r="O16" s="50">
        <f t="shared" si="4"/>
        <v>0</v>
      </c>
      <c r="P16" s="62">
        <f t="shared" si="5"/>
        <v>21</v>
      </c>
    </row>
    <row r="17" spans="1:16" ht="15" x14ac:dyDescent="0.2">
      <c r="A17" s="56">
        <v>13</v>
      </c>
      <c r="B17" s="100"/>
      <c r="C17" s="52"/>
      <c r="D17" s="51"/>
      <c r="E17" s="50"/>
      <c r="F17" s="51"/>
      <c r="G17" s="50">
        <f t="shared" si="0"/>
        <v>0</v>
      </c>
      <c r="H17" s="99"/>
      <c r="I17" s="51"/>
      <c r="J17" s="51"/>
      <c r="K17" s="51"/>
      <c r="L17" s="50">
        <f t="shared" si="1"/>
        <v>0</v>
      </c>
      <c r="M17" s="61">
        <f t="shared" si="2"/>
        <v>0</v>
      </c>
      <c r="N17" s="52">
        <f t="shared" si="3"/>
        <v>0</v>
      </c>
      <c r="O17" s="50">
        <f t="shared" si="4"/>
        <v>0</v>
      </c>
      <c r="P17" s="62">
        <f t="shared" si="5"/>
        <v>20</v>
      </c>
    </row>
    <row r="18" spans="1:16" ht="15" x14ac:dyDescent="0.2">
      <c r="A18" s="56">
        <v>14</v>
      </c>
      <c r="B18" s="100"/>
      <c r="C18" s="52"/>
      <c r="D18" s="51"/>
      <c r="E18" s="50"/>
      <c r="F18" s="51"/>
      <c r="G18" s="50">
        <f t="shared" si="0"/>
        <v>0</v>
      </c>
      <c r="H18" s="99"/>
      <c r="I18" s="51"/>
      <c r="J18" s="50"/>
      <c r="K18" s="51"/>
      <c r="L18" s="50">
        <f t="shared" si="1"/>
        <v>0</v>
      </c>
      <c r="M18" s="61">
        <f t="shared" si="2"/>
        <v>0</v>
      </c>
      <c r="N18" s="52">
        <f t="shared" si="3"/>
        <v>0</v>
      </c>
      <c r="O18" s="50">
        <f t="shared" si="4"/>
        <v>0</v>
      </c>
      <c r="P18" s="62">
        <f t="shared" si="5"/>
        <v>19</v>
      </c>
    </row>
    <row r="19" spans="1:16" ht="15" x14ac:dyDescent="0.2">
      <c r="A19" s="56">
        <v>15</v>
      </c>
      <c r="B19" s="100"/>
      <c r="C19" s="52"/>
      <c r="D19" s="51"/>
      <c r="E19" s="50"/>
      <c r="F19" s="51"/>
      <c r="G19" s="50">
        <f t="shared" si="0"/>
        <v>0</v>
      </c>
      <c r="H19" s="99"/>
      <c r="I19" s="51"/>
      <c r="J19" s="51"/>
      <c r="K19" s="51"/>
      <c r="L19" s="50">
        <f t="shared" si="1"/>
        <v>0</v>
      </c>
      <c r="M19" s="61">
        <f t="shared" si="2"/>
        <v>0</v>
      </c>
      <c r="N19" s="52">
        <f t="shared" si="3"/>
        <v>0</v>
      </c>
      <c r="O19" s="50">
        <f t="shared" si="4"/>
        <v>0</v>
      </c>
      <c r="P19" s="62">
        <f t="shared" si="5"/>
        <v>18</v>
      </c>
    </row>
    <row r="20" spans="1:16" ht="15" x14ac:dyDescent="0.2">
      <c r="A20" s="56">
        <v>16</v>
      </c>
      <c r="B20" s="100"/>
      <c r="C20" s="52"/>
      <c r="D20" s="51"/>
      <c r="E20" s="50"/>
      <c r="F20" s="51"/>
      <c r="G20" s="50">
        <f t="shared" si="0"/>
        <v>0</v>
      </c>
      <c r="H20" s="99"/>
      <c r="I20" s="51"/>
      <c r="J20" s="51"/>
      <c r="K20" s="51"/>
      <c r="L20" s="50">
        <f t="shared" si="1"/>
        <v>0</v>
      </c>
      <c r="M20" s="61">
        <f t="shared" si="2"/>
        <v>0</v>
      </c>
      <c r="N20" s="52">
        <f t="shared" si="3"/>
        <v>0</v>
      </c>
      <c r="O20" s="50">
        <f t="shared" si="4"/>
        <v>0</v>
      </c>
      <c r="P20" s="62">
        <f t="shared" si="5"/>
        <v>17</v>
      </c>
    </row>
    <row r="21" spans="1:16" ht="15" x14ac:dyDescent="0.2">
      <c r="A21" s="56">
        <v>17</v>
      </c>
      <c r="B21" s="100"/>
      <c r="C21" s="52"/>
      <c r="D21" s="51"/>
      <c r="E21" s="50"/>
      <c r="F21" s="51"/>
      <c r="G21" s="50">
        <f t="shared" si="0"/>
        <v>0</v>
      </c>
      <c r="H21" s="99"/>
      <c r="I21" s="51"/>
      <c r="J21" s="51"/>
      <c r="K21" s="51"/>
      <c r="L21" s="50">
        <f t="shared" si="1"/>
        <v>0</v>
      </c>
      <c r="M21" s="61">
        <f t="shared" si="2"/>
        <v>0</v>
      </c>
      <c r="N21" s="52">
        <f t="shared" si="3"/>
        <v>0</v>
      </c>
      <c r="O21" s="50">
        <f t="shared" si="4"/>
        <v>0</v>
      </c>
      <c r="P21" s="62">
        <f t="shared" si="5"/>
        <v>16</v>
      </c>
    </row>
    <row r="22" spans="1:16" ht="15" x14ac:dyDescent="0.2">
      <c r="A22" s="56">
        <v>18</v>
      </c>
      <c r="B22" s="100"/>
      <c r="C22" s="52"/>
      <c r="D22" s="51"/>
      <c r="E22" s="50"/>
      <c r="F22" s="51"/>
      <c r="G22" s="50">
        <f t="shared" si="0"/>
        <v>0</v>
      </c>
      <c r="H22" s="99"/>
      <c r="I22" s="51"/>
      <c r="J22" s="50"/>
      <c r="K22" s="51"/>
      <c r="L22" s="50">
        <f t="shared" si="1"/>
        <v>0</v>
      </c>
      <c r="M22" s="61">
        <f t="shared" si="2"/>
        <v>0</v>
      </c>
      <c r="N22" s="52">
        <f t="shared" si="3"/>
        <v>0</v>
      </c>
      <c r="O22" s="50">
        <f t="shared" si="4"/>
        <v>0</v>
      </c>
      <c r="P22" s="62">
        <f t="shared" si="5"/>
        <v>15</v>
      </c>
    </row>
    <row r="23" spans="1:16" ht="15" x14ac:dyDescent="0.2">
      <c r="A23" s="56">
        <v>19</v>
      </c>
      <c r="B23" s="100"/>
      <c r="C23" s="52"/>
      <c r="D23" s="51"/>
      <c r="E23" s="50"/>
      <c r="F23" s="51"/>
      <c r="G23" s="50">
        <f t="shared" si="0"/>
        <v>0</v>
      </c>
      <c r="H23" s="99"/>
      <c r="I23" s="51"/>
      <c r="J23" s="50"/>
      <c r="K23" s="51"/>
      <c r="L23" s="50">
        <f t="shared" si="1"/>
        <v>0</v>
      </c>
      <c r="M23" s="61">
        <f t="shared" si="2"/>
        <v>0</v>
      </c>
      <c r="N23" s="52">
        <f t="shared" si="3"/>
        <v>0</v>
      </c>
      <c r="O23" s="50">
        <f t="shared" si="4"/>
        <v>0</v>
      </c>
      <c r="P23" s="62">
        <f t="shared" si="5"/>
        <v>14</v>
      </c>
    </row>
    <row r="24" spans="1:16" ht="15" x14ac:dyDescent="0.2">
      <c r="A24" s="56">
        <v>20</v>
      </c>
      <c r="B24" s="100"/>
      <c r="C24" s="52"/>
      <c r="D24" s="51"/>
      <c r="E24" s="50"/>
      <c r="F24" s="51"/>
      <c r="G24" s="50">
        <f t="shared" si="0"/>
        <v>0</v>
      </c>
      <c r="H24" s="99"/>
      <c r="I24" s="51"/>
      <c r="J24" s="51"/>
      <c r="K24" s="51"/>
      <c r="L24" s="50">
        <f t="shared" si="1"/>
        <v>0</v>
      </c>
      <c r="M24" s="61">
        <f t="shared" si="2"/>
        <v>0</v>
      </c>
      <c r="N24" s="52">
        <f t="shared" si="3"/>
        <v>0</v>
      </c>
      <c r="O24" s="50">
        <f t="shared" si="4"/>
        <v>0</v>
      </c>
      <c r="P24" s="62">
        <f t="shared" si="5"/>
        <v>13</v>
      </c>
    </row>
    <row r="25" spans="1:16" ht="15" x14ac:dyDescent="0.2">
      <c r="A25" s="56">
        <v>21</v>
      </c>
      <c r="B25" s="100"/>
      <c r="C25" s="52"/>
      <c r="D25" s="51"/>
      <c r="E25" s="50"/>
      <c r="F25" s="51"/>
      <c r="G25" s="50">
        <f t="shared" si="0"/>
        <v>0</v>
      </c>
      <c r="H25" s="99"/>
      <c r="I25" s="51"/>
      <c r="J25" s="50"/>
      <c r="K25" s="51"/>
      <c r="L25" s="50">
        <f t="shared" si="1"/>
        <v>0</v>
      </c>
      <c r="M25" s="61">
        <f t="shared" si="2"/>
        <v>0</v>
      </c>
      <c r="N25" s="52">
        <f t="shared" si="3"/>
        <v>0</v>
      </c>
      <c r="O25" s="50">
        <f t="shared" si="4"/>
        <v>0</v>
      </c>
      <c r="P25" s="62">
        <f t="shared" si="5"/>
        <v>12</v>
      </c>
    </row>
    <row r="26" spans="1:16" ht="15" x14ac:dyDescent="0.2">
      <c r="A26" s="56">
        <v>22</v>
      </c>
      <c r="B26" s="100"/>
      <c r="C26" s="52"/>
      <c r="D26" s="51"/>
      <c r="E26" s="50"/>
      <c r="F26" s="51"/>
      <c r="G26" s="50">
        <f t="shared" si="0"/>
        <v>0</v>
      </c>
      <c r="H26" s="99"/>
      <c r="I26" s="51"/>
      <c r="J26" s="51"/>
      <c r="K26" s="51"/>
      <c r="L26" s="50">
        <f t="shared" si="1"/>
        <v>0</v>
      </c>
      <c r="M26" s="61">
        <f t="shared" si="2"/>
        <v>0</v>
      </c>
      <c r="N26" s="52">
        <f t="shared" si="3"/>
        <v>0</v>
      </c>
      <c r="O26" s="50">
        <f t="shared" si="4"/>
        <v>0</v>
      </c>
      <c r="P26" s="62">
        <f t="shared" si="5"/>
        <v>11</v>
      </c>
    </row>
    <row r="27" spans="1:16" ht="15" x14ac:dyDescent="0.2">
      <c r="A27" s="56">
        <v>23</v>
      </c>
      <c r="B27" s="100"/>
      <c r="C27" s="52"/>
      <c r="D27" s="51"/>
      <c r="E27" s="50"/>
      <c r="F27" s="51"/>
      <c r="G27" s="50">
        <f t="shared" si="0"/>
        <v>0</v>
      </c>
      <c r="H27" s="99"/>
      <c r="I27" s="51"/>
      <c r="J27" s="51"/>
      <c r="K27" s="51"/>
      <c r="L27" s="50">
        <f t="shared" si="1"/>
        <v>0</v>
      </c>
      <c r="M27" s="61">
        <f t="shared" si="2"/>
        <v>0</v>
      </c>
      <c r="N27" s="52">
        <f t="shared" si="3"/>
        <v>0</v>
      </c>
      <c r="O27" s="50">
        <f t="shared" si="4"/>
        <v>0</v>
      </c>
      <c r="P27" s="62">
        <f t="shared" si="5"/>
        <v>10</v>
      </c>
    </row>
    <row r="28" spans="1:16" ht="15" x14ac:dyDescent="0.2">
      <c r="A28" s="56">
        <v>24</v>
      </c>
      <c r="B28" s="100"/>
      <c r="C28" s="52"/>
      <c r="D28" s="51"/>
      <c r="E28" s="50"/>
      <c r="F28" s="51"/>
      <c r="G28" s="50">
        <f t="shared" si="0"/>
        <v>0</v>
      </c>
      <c r="H28" s="99"/>
      <c r="I28" s="51"/>
      <c r="J28" s="51"/>
      <c r="K28" s="51"/>
      <c r="L28" s="50">
        <f t="shared" si="1"/>
        <v>0</v>
      </c>
      <c r="M28" s="61">
        <f t="shared" si="2"/>
        <v>0</v>
      </c>
      <c r="N28" s="52">
        <f t="shared" si="3"/>
        <v>0</v>
      </c>
      <c r="O28" s="50">
        <f t="shared" si="4"/>
        <v>0</v>
      </c>
      <c r="P28" s="62">
        <f t="shared" si="5"/>
        <v>9</v>
      </c>
    </row>
    <row r="29" spans="1:16" ht="15" x14ac:dyDescent="0.2">
      <c r="A29" s="56">
        <v>25</v>
      </c>
      <c r="B29" s="100"/>
      <c r="C29" s="52"/>
      <c r="D29" s="51"/>
      <c r="E29" s="50"/>
      <c r="F29" s="51"/>
      <c r="G29" s="50">
        <f t="shared" si="0"/>
        <v>0</v>
      </c>
      <c r="H29" s="99"/>
      <c r="I29" s="51"/>
      <c r="J29" s="51"/>
      <c r="K29" s="51"/>
      <c r="L29" s="50">
        <f t="shared" si="1"/>
        <v>0</v>
      </c>
      <c r="M29" s="61">
        <f t="shared" si="2"/>
        <v>0</v>
      </c>
      <c r="N29" s="52">
        <f t="shared" si="3"/>
        <v>0</v>
      </c>
      <c r="O29" s="50">
        <f t="shared" si="4"/>
        <v>0</v>
      </c>
      <c r="P29" s="62">
        <f t="shared" si="5"/>
        <v>8</v>
      </c>
    </row>
    <row r="30" spans="1:16" ht="15" x14ac:dyDescent="0.2">
      <c r="A30" s="56">
        <v>26</v>
      </c>
      <c r="B30" s="101"/>
      <c r="C30" s="52"/>
      <c r="D30" s="51"/>
      <c r="E30" s="50"/>
      <c r="F30" s="51"/>
      <c r="G30" s="50">
        <f t="shared" si="0"/>
        <v>0</v>
      </c>
      <c r="H30" s="99"/>
      <c r="I30" s="51"/>
      <c r="J30" s="51"/>
      <c r="K30" s="51"/>
      <c r="L30" s="50">
        <f t="shared" si="1"/>
        <v>0</v>
      </c>
      <c r="M30" s="61">
        <f t="shared" si="2"/>
        <v>0</v>
      </c>
      <c r="N30" s="52">
        <f t="shared" si="3"/>
        <v>0</v>
      </c>
      <c r="O30" s="50">
        <f t="shared" si="4"/>
        <v>0</v>
      </c>
      <c r="P30" s="62">
        <f t="shared" si="5"/>
        <v>7</v>
      </c>
    </row>
    <row r="31" spans="1:16" ht="15" x14ac:dyDescent="0.2">
      <c r="A31" s="56">
        <v>27</v>
      </c>
      <c r="B31" s="100"/>
      <c r="C31" s="52"/>
      <c r="D31" s="51"/>
      <c r="E31" s="50"/>
      <c r="F31" s="51"/>
      <c r="G31" s="50">
        <f t="shared" si="0"/>
        <v>0</v>
      </c>
      <c r="H31" s="99"/>
      <c r="I31" s="51"/>
      <c r="J31" s="50"/>
      <c r="K31" s="51"/>
      <c r="L31" s="50">
        <f t="shared" si="1"/>
        <v>0</v>
      </c>
      <c r="M31" s="61">
        <f t="shared" si="2"/>
        <v>0</v>
      </c>
      <c r="N31" s="52">
        <f t="shared" si="3"/>
        <v>0</v>
      </c>
      <c r="O31" s="50">
        <f t="shared" si="4"/>
        <v>0</v>
      </c>
      <c r="P31" s="62">
        <f t="shared" si="5"/>
        <v>6</v>
      </c>
    </row>
    <row r="32" spans="1:16" ht="15" x14ac:dyDescent="0.2">
      <c r="A32" s="56">
        <v>28</v>
      </c>
      <c r="B32" s="100"/>
      <c r="C32" s="52"/>
      <c r="D32" s="51"/>
      <c r="E32" s="50"/>
      <c r="F32" s="51"/>
      <c r="G32" s="50">
        <f t="shared" si="0"/>
        <v>0</v>
      </c>
      <c r="H32" s="99"/>
      <c r="I32" s="51"/>
      <c r="J32" s="51"/>
      <c r="K32" s="51"/>
      <c r="L32" s="50">
        <f t="shared" si="1"/>
        <v>0</v>
      </c>
      <c r="M32" s="61">
        <f t="shared" si="2"/>
        <v>0</v>
      </c>
      <c r="N32" s="52">
        <f t="shared" si="3"/>
        <v>0</v>
      </c>
      <c r="O32" s="50">
        <f t="shared" si="4"/>
        <v>0</v>
      </c>
      <c r="P32" s="62">
        <f t="shared" si="5"/>
        <v>5</v>
      </c>
    </row>
    <row r="33" spans="1:16" ht="15" x14ac:dyDescent="0.2">
      <c r="A33" s="56">
        <v>29</v>
      </c>
      <c r="B33" s="101"/>
      <c r="C33" s="52"/>
      <c r="D33" s="51"/>
      <c r="E33" s="51"/>
      <c r="F33" s="50"/>
      <c r="G33" s="50">
        <f t="shared" si="0"/>
        <v>0</v>
      </c>
      <c r="H33" s="99"/>
      <c r="I33" s="52"/>
      <c r="J33" s="50"/>
      <c r="K33" s="51"/>
      <c r="L33" s="50">
        <f t="shared" si="1"/>
        <v>0</v>
      </c>
      <c r="M33" s="61">
        <f t="shared" si="2"/>
        <v>0</v>
      </c>
      <c r="N33" s="52">
        <f t="shared" si="3"/>
        <v>0</v>
      </c>
      <c r="O33" s="50">
        <f t="shared" si="4"/>
        <v>0</v>
      </c>
      <c r="P33" s="62">
        <f t="shared" si="5"/>
        <v>4</v>
      </c>
    </row>
    <row r="34" spans="1:16" ht="15" x14ac:dyDescent="0.2">
      <c r="A34" s="56">
        <v>30</v>
      </c>
      <c r="B34" s="100"/>
      <c r="C34" s="52"/>
      <c r="D34" s="51"/>
      <c r="E34" s="50"/>
      <c r="F34" s="51"/>
      <c r="G34" s="50">
        <f t="shared" si="0"/>
        <v>0</v>
      </c>
      <c r="H34" s="52"/>
      <c r="I34" s="51"/>
      <c r="J34" s="51"/>
      <c r="K34" s="51"/>
      <c r="L34" s="50">
        <f t="shared" si="1"/>
        <v>0</v>
      </c>
      <c r="M34" s="61">
        <f t="shared" si="2"/>
        <v>0</v>
      </c>
      <c r="N34" s="52">
        <f t="shared" si="3"/>
        <v>0</v>
      </c>
      <c r="O34" s="50">
        <f t="shared" si="4"/>
        <v>0</v>
      </c>
      <c r="P34" s="62">
        <f t="shared" si="5"/>
        <v>3</v>
      </c>
    </row>
    <row r="35" spans="1:16" ht="15" x14ac:dyDescent="0.2">
      <c r="A35" s="56">
        <v>31</v>
      </c>
      <c r="B35" s="100"/>
      <c r="C35" s="106"/>
      <c r="D35" s="107"/>
      <c r="E35" s="108"/>
      <c r="F35" s="107"/>
      <c r="G35" s="108">
        <f t="shared" si="0"/>
        <v>0</v>
      </c>
      <c r="H35" s="99"/>
      <c r="I35" s="107"/>
      <c r="J35" s="107"/>
      <c r="K35" s="107"/>
      <c r="L35" s="108">
        <f t="shared" si="1"/>
        <v>0</v>
      </c>
      <c r="M35" s="61">
        <f t="shared" si="2"/>
        <v>0</v>
      </c>
      <c r="N35" s="106">
        <f t="shared" si="3"/>
        <v>0</v>
      </c>
      <c r="O35" s="108">
        <f t="shared" si="4"/>
        <v>0</v>
      </c>
      <c r="P35" s="62">
        <f t="shared" si="5"/>
        <v>2</v>
      </c>
    </row>
    <row r="36" spans="1:16" ht="15" x14ac:dyDescent="0.2">
      <c r="A36" s="56">
        <v>32</v>
      </c>
      <c r="B36" s="100"/>
      <c r="C36" s="106"/>
      <c r="D36" s="107"/>
      <c r="E36" s="108"/>
      <c r="F36" s="107"/>
      <c r="G36" s="108">
        <f t="shared" si="0"/>
        <v>0</v>
      </c>
      <c r="H36" s="99"/>
      <c r="I36" s="107"/>
      <c r="J36" s="107"/>
      <c r="K36" s="107"/>
      <c r="L36" s="108">
        <f t="shared" si="1"/>
        <v>0</v>
      </c>
      <c r="M36" s="61">
        <f t="shared" si="2"/>
        <v>0</v>
      </c>
      <c r="N36" s="106">
        <f t="shared" si="3"/>
        <v>0</v>
      </c>
      <c r="O36" s="108">
        <f t="shared" si="4"/>
        <v>0</v>
      </c>
      <c r="P36" s="62">
        <f t="shared" si="5"/>
        <v>2</v>
      </c>
    </row>
    <row r="37" spans="1:16" ht="15" x14ac:dyDescent="0.2">
      <c r="A37" s="56">
        <v>33</v>
      </c>
      <c r="B37" s="100"/>
      <c r="C37" s="106"/>
      <c r="D37" s="107"/>
      <c r="E37" s="108"/>
      <c r="F37" s="107"/>
      <c r="G37" s="108">
        <f t="shared" si="0"/>
        <v>0</v>
      </c>
      <c r="H37" s="99"/>
      <c r="I37" s="107"/>
      <c r="J37" s="107"/>
      <c r="K37" s="107"/>
      <c r="L37" s="108">
        <f t="shared" si="1"/>
        <v>0</v>
      </c>
      <c r="M37" s="61">
        <f t="shared" si="2"/>
        <v>0</v>
      </c>
      <c r="N37" s="106">
        <f t="shared" si="3"/>
        <v>0</v>
      </c>
      <c r="O37" s="108">
        <f t="shared" si="4"/>
        <v>0</v>
      </c>
      <c r="P37" s="62">
        <f t="shared" si="5"/>
        <v>2</v>
      </c>
    </row>
    <row r="38" spans="1:16" ht="15" x14ac:dyDescent="0.2">
      <c r="A38" s="56">
        <v>34</v>
      </c>
      <c r="B38" s="100"/>
      <c r="C38" s="106"/>
      <c r="D38" s="107"/>
      <c r="E38" s="108"/>
      <c r="F38" s="107"/>
      <c r="G38" s="108">
        <f t="shared" si="0"/>
        <v>0</v>
      </c>
      <c r="H38" s="99"/>
      <c r="I38" s="107"/>
      <c r="J38" s="107"/>
      <c r="K38" s="107"/>
      <c r="L38" s="108">
        <f t="shared" si="1"/>
        <v>0</v>
      </c>
      <c r="M38" s="61">
        <f t="shared" si="2"/>
        <v>0</v>
      </c>
      <c r="N38" s="106">
        <f t="shared" si="3"/>
        <v>0</v>
      </c>
      <c r="O38" s="108">
        <f t="shared" si="4"/>
        <v>0</v>
      </c>
      <c r="P38" s="62">
        <f t="shared" si="5"/>
        <v>2</v>
      </c>
    </row>
    <row r="39" spans="1:16" ht="15" x14ac:dyDescent="0.2">
      <c r="A39" s="56">
        <v>35</v>
      </c>
      <c r="B39" s="100"/>
      <c r="C39" s="106"/>
      <c r="D39" s="107"/>
      <c r="E39" s="108"/>
      <c r="F39" s="107"/>
      <c r="G39" s="108">
        <f t="shared" si="0"/>
        <v>0</v>
      </c>
      <c r="H39" s="99"/>
      <c r="I39" s="107"/>
      <c r="J39" s="107"/>
      <c r="K39" s="107"/>
      <c r="L39" s="108">
        <f t="shared" si="1"/>
        <v>0</v>
      </c>
      <c r="M39" s="61">
        <f t="shared" si="2"/>
        <v>0</v>
      </c>
      <c r="N39" s="106">
        <f t="shared" si="3"/>
        <v>0</v>
      </c>
      <c r="O39" s="108">
        <f t="shared" si="4"/>
        <v>0</v>
      </c>
      <c r="P39" s="62">
        <f t="shared" si="5"/>
        <v>2</v>
      </c>
    </row>
    <row r="40" spans="1:16" ht="15" x14ac:dyDescent="0.2">
      <c r="A40" s="56">
        <v>36</v>
      </c>
      <c r="B40" s="100"/>
      <c r="C40" s="106"/>
      <c r="D40" s="107"/>
      <c r="E40" s="108"/>
      <c r="F40" s="107"/>
      <c r="G40" s="108">
        <f t="shared" si="0"/>
        <v>0</v>
      </c>
      <c r="H40" s="99"/>
      <c r="I40" s="107"/>
      <c r="J40" s="107"/>
      <c r="K40" s="107"/>
      <c r="L40" s="108">
        <f t="shared" si="1"/>
        <v>0</v>
      </c>
      <c r="M40" s="61">
        <f t="shared" si="2"/>
        <v>0</v>
      </c>
      <c r="N40" s="106">
        <f t="shared" si="3"/>
        <v>0</v>
      </c>
      <c r="O40" s="108">
        <f t="shared" si="4"/>
        <v>0</v>
      </c>
      <c r="P40" s="62">
        <f t="shared" si="5"/>
        <v>2</v>
      </c>
    </row>
    <row r="41" spans="1:16" ht="15" x14ac:dyDescent="0.2">
      <c r="A41" s="56">
        <v>37</v>
      </c>
      <c r="B41" s="100"/>
      <c r="C41" s="106"/>
      <c r="D41" s="107"/>
      <c r="E41" s="108"/>
      <c r="F41" s="107"/>
      <c r="G41" s="108">
        <f t="shared" si="0"/>
        <v>0</v>
      </c>
      <c r="H41" s="99"/>
      <c r="I41" s="107"/>
      <c r="J41" s="107"/>
      <c r="K41" s="107"/>
      <c r="L41" s="108">
        <f t="shared" si="1"/>
        <v>0</v>
      </c>
      <c r="M41" s="61">
        <f t="shared" si="2"/>
        <v>0</v>
      </c>
      <c r="N41" s="106">
        <f t="shared" si="3"/>
        <v>0</v>
      </c>
      <c r="O41" s="108">
        <f t="shared" si="4"/>
        <v>0</v>
      </c>
      <c r="P41" s="62">
        <f t="shared" si="5"/>
        <v>2</v>
      </c>
    </row>
    <row r="42" spans="1:16" ht="15" x14ac:dyDescent="0.2">
      <c r="A42" s="56">
        <v>38</v>
      </c>
      <c r="B42" s="100"/>
      <c r="C42" s="106"/>
      <c r="D42" s="107"/>
      <c r="E42" s="108"/>
      <c r="F42" s="107"/>
      <c r="G42" s="108">
        <f t="shared" si="0"/>
        <v>0</v>
      </c>
      <c r="H42" s="99"/>
      <c r="I42" s="107"/>
      <c r="J42" s="107"/>
      <c r="K42" s="107"/>
      <c r="L42" s="108">
        <f t="shared" si="1"/>
        <v>0</v>
      </c>
      <c r="M42" s="61">
        <f t="shared" si="2"/>
        <v>0</v>
      </c>
      <c r="N42" s="106">
        <f t="shared" si="3"/>
        <v>0</v>
      </c>
      <c r="O42" s="108">
        <f t="shared" si="4"/>
        <v>0</v>
      </c>
      <c r="P42" s="62">
        <f t="shared" si="5"/>
        <v>2</v>
      </c>
    </row>
    <row r="43" spans="1:16" ht="15" x14ac:dyDescent="0.2">
      <c r="A43" s="56">
        <v>39</v>
      </c>
      <c r="B43" s="100"/>
      <c r="C43" s="106"/>
      <c r="D43" s="107"/>
      <c r="E43" s="108"/>
      <c r="F43" s="107"/>
      <c r="G43" s="108">
        <f t="shared" si="0"/>
        <v>0</v>
      </c>
      <c r="H43" s="99"/>
      <c r="I43" s="107"/>
      <c r="J43" s="107"/>
      <c r="K43" s="107"/>
      <c r="L43" s="108">
        <f t="shared" si="1"/>
        <v>0</v>
      </c>
      <c r="M43" s="61">
        <f t="shared" si="2"/>
        <v>0</v>
      </c>
      <c r="N43" s="106">
        <f t="shared" si="3"/>
        <v>0</v>
      </c>
      <c r="O43" s="108">
        <f t="shared" si="4"/>
        <v>0</v>
      </c>
      <c r="P43" s="62">
        <f t="shared" si="5"/>
        <v>2</v>
      </c>
    </row>
    <row r="44" spans="1:16" ht="15" x14ac:dyDescent="0.2">
      <c r="A44" s="56">
        <v>40</v>
      </c>
      <c r="B44" s="100"/>
      <c r="C44" s="106"/>
      <c r="D44" s="107"/>
      <c r="E44" s="108"/>
      <c r="F44" s="107"/>
      <c r="G44" s="108">
        <f t="shared" si="0"/>
        <v>0</v>
      </c>
      <c r="H44" s="99"/>
      <c r="I44" s="107"/>
      <c r="J44" s="107"/>
      <c r="K44" s="107"/>
      <c r="L44" s="108">
        <f t="shared" si="1"/>
        <v>0</v>
      </c>
      <c r="M44" s="61">
        <f t="shared" si="2"/>
        <v>0</v>
      </c>
      <c r="N44" s="106">
        <f t="shared" si="3"/>
        <v>0</v>
      </c>
      <c r="O44" s="108">
        <f t="shared" si="4"/>
        <v>0</v>
      </c>
      <c r="P44" s="62">
        <f t="shared" si="5"/>
        <v>2</v>
      </c>
    </row>
    <row r="45" spans="1:16" ht="15" x14ac:dyDescent="0.2">
      <c r="A45" s="56">
        <v>41</v>
      </c>
      <c r="B45" s="100"/>
      <c r="C45" s="106"/>
      <c r="D45" s="107"/>
      <c r="E45" s="108"/>
      <c r="F45" s="107"/>
      <c r="G45" s="108">
        <f t="shared" si="0"/>
        <v>0</v>
      </c>
      <c r="H45" s="99"/>
      <c r="I45" s="107"/>
      <c r="J45" s="107"/>
      <c r="K45" s="107"/>
      <c r="L45" s="108">
        <f t="shared" si="1"/>
        <v>0</v>
      </c>
      <c r="M45" s="61">
        <f t="shared" si="2"/>
        <v>0</v>
      </c>
      <c r="N45" s="106">
        <f t="shared" si="3"/>
        <v>0</v>
      </c>
      <c r="O45" s="108">
        <f t="shared" si="4"/>
        <v>0</v>
      </c>
      <c r="P45" s="62">
        <f t="shared" si="5"/>
        <v>2</v>
      </c>
    </row>
    <row r="46" spans="1:16" ht="15" x14ac:dyDescent="0.2">
      <c r="A46" s="56">
        <v>42</v>
      </c>
      <c r="B46" s="100"/>
      <c r="C46" s="106"/>
      <c r="D46" s="107"/>
      <c r="E46" s="108"/>
      <c r="F46" s="107"/>
      <c r="G46" s="108">
        <f t="shared" si="0"/>
        <v>0</v>
      </c>
      <c r="H46" s="99"/>
      <c r="I46" s="107"/>
      <c r="J46" s="107"/>
      <c r="K46" s="107"/>
      <c r="L46" s="108">
        <f t="shared" si="1"/>
        <v>0</v>
      </c>
      <c r="M46" s="61">
        <f t="shared" si="2"/>
        <v>0</v>
      </c>
      <c r="N46" s="106">
        <f t="shared" si="3"/>
        <v>0</v>
      </c>
      <c r="O46" s="108">
        <f t="shared" si="4"/>
        <v>0</v>
      </c>
      <c r="P46" s="62">
        <f t="shared" si="5"/>
        <v>2</v>
      </c>
    </row>
    <row r="47" spans="1:16" ht="15" x14ac:dyDescent="0.2">
      <c r="A47" s="56">
        <v>43</v>
      </c>
      <c r="B47" s="100"/>
      <c r="C47" s="106"/>
      <c r="D47" s="107"/>
      <c r="E47" s="108"/>
      <c r="F47" s="107"/>
      <c r="G47" s="108">
        <f t="shared" si="0"/>
        <v>0</v>
      </c>
      <c r="H47" s="99"/>
      <c r="I47" s="107"/>
      <c r="J47" s="107"/>
      <c r="K47" s="107"/>
      <c r="L47" s="108">
        <f t="shared" si="1"/>
        <v>0</v>
      </c>
      <c r="M47" s="61">
        <f t="shared" si="2"/>
        <v>0</v>
      </c>
      <c r="N47" s="106">
        <f t="shared" si="3"/>
        <v>0</v>
      </c>
      <c r="O47" s="108">
        <f t="shared" si="4"/>
        <v>0</v>
      </c>
      <c r="P47" s="62">
        <f t="shared" si="5"/>
        <v>2</v>
      </c>
    </row>
    <row r="48" spans="1:16" ht="15" x14ac:dyDescent="0.2">
      <c r="A48" s="56">
        <v>44</v>
      </c>
      <c r="B48" s="100"/>
      <c r="C48" s="106"/>
      <c r="D48" s="107"/>
      <c r="E48" s="108"/>
      <c r="F48" s="107"/>
      <c r="G48" s="108">
        <f t="shared" si="0"/>
        <v>0</v>
      </c>
      <c r="H48" s="99"/>
      <c r="I48" s="107"/>
      <c r="J48" s="107"/>
      <c r="K48" s="107"/>
      <c r="L48" s="108">
        <f t="shared" si="1"/>
        <v>0</v>
      </c>
      <c r="M48" s="61">
        <f t="shared" si="2"/>
        <v>0</v>
      </c>
      <c r="N48" s="106">
        <f t="shared" si="3"/>
        <v>0</v>
      </c>
      <c r="O48" s="108">
        <f t="shared" si="4"/>
        <v>0</v>
      </c>
      <c r="P48" s="62">
        <f t="shared" si="5"/>
        <v>2</v>
      </c>
    </row>
    <row r="49" spans="1:17" ht="15" x14ac:dyDescent="0.2">
      <c r="A49" s="56">
        <v>45</v>
      </c>
      <c r="B49" s="100"/>
      <c r="C49" s="106"/>
      <c r="D49" s="107"/>
      <c r="E49" s="108"/>
      <c r="F49" s="107"/>
      <c r="G49" s="108">
        <f t="shared" si="0"/>
        <v>0</v>
      </c>
      <c r="H49" s="99"/>
      <c r="I49" s="107"/>
      <c r="J49" s="107"/>
      <c r="K49" s="107"/>
      <c r="L49" s="108">
        <f t="shared" si="1"/>
        <v>0</v>
      </c>
      <c r="M49" s="61">
        <f t="shared" si="2"/>
        <v>0</v>
      </c>
      <c r="N49" s="106">
        <f t="shared" si="3"/>
        <v>0</v>
      </c>
      <c r="O49" s="108">
        <f t="shared" si="4"/>
        <v>0</v>
      </c>
      <c r="P49" s="62">
        <f t="shared" si="5"/>
        <v>2</v>
      </c>
    </row>
    <row r="50" spans="1:17" ht="15" x14ac:dyDescent="0.2">
      <c r="A50" s="56">
        <v>46</v>
      </c>
      <c r="B50" s="100"/>
      <c r="C50" s="106"/>
      <c r="D50" s="107"/>
      <c r="E50" s="108"/>
      <c r="F50" s="107"/>
      <c r="G50" s="108">
        <f t="shared" si="0"/>
        <v>0</v>
      </c>
      <c r="H50" s="99"/>
      <c r="I50" s="107"/>
      <c r="J50" s="107"/>
      <c r="K50" s="107"/>
      <c r="L50" s="108">
        <f t="shared" si="1"/>
        <v>0</v>
      </c>
      <c r="M50" s="61">
        <f t="shared" si="2"/>
        <v>0</v>
      </c>
      <c r="N50" s="106">
        <f t="shared" si="3"/>
        <v>0</v>
      </c>
      <c r="O50" s="108">
        <f t="shared" si="4"/>
        <v>0</v>
      </c>
      <c r="P50" s="62">
        <f t="shared" si="5"/>
        <v>2</v>
      </c>
    </row>
    <row r="51" spans="1:17" ht="15" x14ac:dyDescent="0.2">
      <c r="A51" s="56">
        <v>47</v>
      </c>
      <c r="B51" s="100"/>
      <c r="C51" s="106"/>
      <c r="D51" s="107"/>
      <c r="E51" s="108"/>
      <c r="F51" s="107"/>
      <c r="G51" s="108">
        <f t="shared" si="0"/>
        <v>0</v>
      </c>
      <c r="H51" s="99"/>
      <c r="I51" s="107"/>
      <c r="J51" s="107"/>
      <c r="K51" s="107"/>
      <c r="L51" s="108">
        <f t="shared" si="1"/>
        <v>0</v>
      </c>
      <c r="M51" s="61">
        <f t="shared" si="2"/>
        <v>0</v>
      </c>
      <c r="N51" s="106">
        <f t="shared" si="3"/>
        <v>0</v>
      </c>
      <c r="O51" s="108">
        <f t="shared" si="4"/>
        <v>0</v>
      </c>
      <c r="P51" s="62">
        <f t="shared" si="5"/>
        <v>2</v>
      </c>
    </row>
    <row r="52" spans="1:17" ht="15" x14ac:dyDescent="0.2">
      <c r="A52" s="56">
        <v>48</v>
      </c>
      <c r="B52" s="100"/>
      <c r="C52" s="106"/>
      <c r="D52" s="107"/>
      <c r="E52" s="108"/>
      <c r="F52" s="107"/>
      <c r="G52" s="108">
        <f t="shared" si="0"/>
        <v>0</v>
      </c>
      <c r="H52" s="99"/>
      <c r="I52" s="107"/>
      <c r="J52" s="107"/>
      <c r="K52" s="107"/>
      <c r="L52" s="108">
        <f t="shared" si="1"/>
        <v>0</v>
      </c>
      <c r="M52" s="61">
        <f t="shared" si="2"/>
        <v>0</v>
      </c>
      <c r="N52" s="106">
        <f t="shared" si="3"/>
        <v>0</v>
      </c>
      <c r="O52" s="108">
        <f t="shared" si="4"/>
        <v>0</v>
      </c>
      <c r="P52" s="62">
        <f t="shared" si="5"/>
        <v>2</v>
      </c>
    </row>
    <row r="53" spans="1:17" ht="15" x14ac:dyDescent="0.2">
      <c r="A53" s="56">
        <v>49</v>
      </c>
      <c r="B53" s="100"/>
      <c r="C53" s="106"/>
      <c r="D53" s="107"/>
      <c r="E53" s="108"/>
      <c r="F53" s="107"/>
      <c r="G53" s="108">
        <f t="shared" si="0"/>
        <v>0</v>
      </c>
      <c r="H53" s="99"/>
      <c r="I53" s="107"/>
      <c r="J53" s="107"/>
      <c r="K53" s="107"/>
      <c r="L53" s="108">
        <f t="shared" si="1"/>
        <v>0</v>
      </c>
      <c r="M53" s="61">
        <f t="shared" si="2"/>
        <v>0</v>
      </c>
      <c r="N53" s="106">
        <f t="shared" si="3"/>
        <v>0</v>
      </c>
      <c r="O53" s="108">
        <f t="shared" si="4"/>
        <v>0</v>
      </c>
      <c r="P53" s="62">
        <f t="shared" si="5"/>
        <v>2</v>
      </c>
    </row>
    <row r="54" spans="1:17" ht="15" x14ac:dyDescent="0.2">
      <c r="A54" s="56">
        <v>50</v>
      </c>
      <c r="B54" s="100"/>
      <c r="C54" s="106"/>
      <c r="D54" s="107"/>
      <c r="E54" s="108"/>
      <c r="F54" s="107"/>
      <c r="G54" s="108">
        <f t="shared" si="0"/>
        <v>0</v>
      </c>
      <c r="H54" s="99"/>
      <c r="I54" s="107"/>
      <c r="J54" s="107"/>
      <c r="K54" s="107"/>
      <c r="L54" s="108">
        <f t="shared" si="1"/>
        <v>0</v>
      </c>
      <c r="M54" s="61">
        <f t="shared" si="2"/>
        <v>0</v>
      </c>
      <c r="N54" s="106">
        <f t="shared" si="3"/>
        <v>0</v>
      </c>
      <c r="O54" s="108">
        <f t="shared" si="4"/>
        <v>0</v>
      </c>
      <c r="P54" s="62">
        <f t="shared" si="5"/>
        <v>2</v>
      </c>
    </row>
    <row r="55" spans="1:17" ht="15" x14ac:dyDescent="0.2">
      <c r="A55" s="56">
        <v>51</v>
      </c>
      <c r="B55" s="100"/>
      <c r="C55" s="106"/>
      <c r="D55" s="107"/>
      <c r="E55" s="108"/>
      <c r="F55" s="107"/>
      <c r="G55" s="108">
        <f t="shared" si="0"/>
        <v>0</v>
      </c>
      <c r="H55" s="99"/>
      <c r="I55" s="107"/>
      <c r="J55" s="107"/>
      <c r="K55" s="107"/>
      <c r="L55" s="108">
        <f t="shared" si="1"/>
        <v>0</v>
      </c>
      <c r="M55" s="61">
        <f t="shared" si="2"/>
        <v>0</v>
      </c>
      <c r="N55" s="106">
        <f t="shared" si="3"/>
        <v>0</v>
      </c>
      <c r="O55" s="108">
        <f t="shared" si="4"/>
        <v>0</v>
      </c>
      <c r="P55" s="62">
        <f t="shared" si="5"/>
        <v>2</v>
      </c>
    </row>
    <row r="56" spans="1:17" ht="15" x14ac:dyDescent="0.2">
      <c r="A56" s="56"/>
      <c r="B56" s="100"/>
      <c r="C56" s="52"/>
      <c r="D56" s="51"/>
      <c r="E56" s="50"/>
      <c r="F56" s="51"/>
      <c r="G56" s="50"/>
      <c r="H56" s="52"/>
      <c r="I56" s="51"/>
      <c r="J56" s="51"/>
      <c r="K56" s="51"/>
      <c r="L56" s="50"/>
      <c r="M56" s="50"/>
      <c r="N56" s="52"/>
      <c r="O56" s="50"/>
      <c r="P56" s="51"/>
    </row>
    <row r="57" spans="1:17" s="76" customFormat="1" ht="15.75" x14ac:dyDescent="0.2">
      <c r="A57" s="79"/>
      <c r="B57" s="2"/>
      <c r="C57" s="33"/>
      <c r="D57" s="34"/>
      <c r="E57" s="34"/>
      <c r="F57" s="34"/>
      <c r="G57" s="35"/>
      <c r="H57" s="33"/>
      <c r="I57" s="34"/>
      <c r="J57" s="34"/>
      <c r="K57" s="34"/>
      <c r="L57" s="35"/>
      <c r="M57" s="33"/>
      <c r="N57" s="36"/>
      <c r="O57" s="37"/>
      <c r="P57" s="80"/>
      <c r="Q57" s="77"/>
    </row>
    <row r="58" spans="1:17" s="76" customFormat="1" ht="33.75" customHeight="1" x14ac:dyDescent="0.25">
      <c r="A58" s="159" t="s">
        <v>85</v>
      </c>
      <c r="B58" s="159"/>
      <c r="C58" s="109">
        <f>COUNT(Table28[Number of Fish])</f>
        <v>0</v>
      </c>
      <c r="D58" s="109"/>
      <c r="E58" s="109"/>
      <c r="F58" s="109"/>
      <c r="G58" s="110"/>
      <c r="H58" s="109">
        <f>COUNT(Table28[Number of Fish2])</f>
        <v>0</v>
      </c>
      <c r="I58" s="109"/>
      <c r="J58" s="109"/>
      <c r="K58" s="109"/>
      <c r="L58" s="110"/>
      <c r="M58" s="110"/>
      <c r="N58" s="109">
        <f>COUNT(Table28[FISH COUNT])</f>
        <v>51</v>
      </c>
      <c r="O58" s="143"/>
      <c r="P58" s="64"/>
    </row>
    <row r="59" spans="1:17" s="76" customFormat="1" ht="15.75" x14ac:dyDescent="0.25">
      <c r="A59" s="166" t="s">
        <v>86</v>
      </c>
      <c r="B59" s="166"/>
      <c r="C59" s="109">
        <f>SUM(Table28[Number of Fish])</f>
        <v>0</v>
      </c>
      <c r="D59" s="111"/>
      <c r="E59" s="111"/>
      <c r="F59" s="111"/>
      <c r="G59" s="110"/>
      <c r="H59" s="109">
        <f>SUM(Table28[Number of Fish2])</f>
        <v>0</v>
      </c>
      <c r="I59" s="111"/>
      <c r="J59" s="111"/>
      <c r="K59" s="111"/>
      <c r="L59" s="110"/>
      <c r="M59" s="110"/>
      <c r="N59" s="111">
        <f>SUM(Table28[FISH COUNT])</f>
        <v>0</v>
      </c>
      <c r="O59" s="143"/>
      <c r="P59" s="64"/>
    </row>
    <row r="60" spans="1:17" s="76" customFormat="1" ht="15.75" x14ac:dyDescent="0.25">
      <c r="A60" s="159" t="s">
        <v>87</v>
      </c>
      <c r="B60" s="159"/>
      <c r="C60" s="112">
        <f>SUM(E5:E55)</f>
        <v>0</v>
      </c>
      <c r="D60" s="112"/>
      <c r="E60" s="112"/>
      <c r="F60" s="112"/>
      <c r="G60" s="110"/>
      <c r="H60" s="112">
        <f>SUM(J5:J55)</f>
        <v>0</v>
      </c>
      <c r="I60" s="112"/>
      <c r="J60" s="112"/>
      <c r="K60" s="112"/>
      <c r="L60" s="110"/>
      <c r="M60" s="110"/>
      <c r="N60" s="112">
        <f>SUM(O5:O34)</f>
        <v>0</v>
      </c>
      <c r="O60" s="143"/>
      <c r="P60" s="64"/>
    </row>
    <row r="61" spans="1:17" ht="15.75" x14ac:dyDescent="0.25">
      <c r="A61" s="159" t="s">
        <v>88</v>
      </c>
      <c r="B61" s="159"/>
      <c r="C61" s="112" t="e">
        <f>C60/C59</f>
        <v>#DIV/0!</v>
      </c>
      <c r="D61" s="112"/>
      <c r="E61" s="112"/>
      <c r="F61" s="112"/>
      <c r="G61" s="113"/>
      <c r="H61" s="112" t="e">
        <f>H60/H59</f>
        <v>#DIV/0!</v>
      </c>
      <c r="I61" s="112"/>
      <c r="J61" s="112"/>
      <c r="K61" s="112"/>
      <c r="L61" s="113"/>
      <c r="M61" s="113"/>
      <c r="N61" s="112" t="e">
        <f>N60/N59</f>
        <v>#DIV/0!</v>
      </c>
      <c r="O61" s="143"/>
      <c r="P61" s="64"/>
    </row>
    <row r="62" spans="1:17" ht="15.75" x14ac:dyDescent="0.25">
      <c r="A62" s="159" t="s">
        <v>89</v>
      </c>
      <c r="B62" s="159"/>
      <c r="C62" s="112" t="e">
        <f>C59/C58</f>
        <v>#DIV/0!</v>
      </c>
      <c r="D62" s="112"/>
      <c r="E62" s="112"/>
      <c r="F62" s="112"/>
      <c r="G62" s="113"/>
      <c r="H62" s="112" t="e">
        <f>H59/H58</f>
        <v>#DIV/0!</v>
      </c>
      <c r="I62" s="112"/>
      <c r="J62" s="112"/>
      <c r="K62" s="112"/>
      <c r="L62" s="113"/>
      <c r="M62" s="113"/>
      <c r="N62" s="112">
        <f>N59/N58</f>
        <v>0</v>
      </c>
      <c r="O62" s="143"/>
      <c r="P62" s="64"/>
    </row>
  </sheetData>
  <mergeCells count="8">
    <mergeCell ref="A61:B61"/>
    <mergeCell ref="A62:B62"/>
    <mergeCell ref="A1:P1"/>
    <mergeCell ref="A2:P2"/>
    <mergeCell ref="M3:O3"/>
    <mergeCell ref="A58:B58"/>
    <mergeCell ref="A59:B59"/>
    <mergeCell ref="A60:B60"/>
  </mergeCells>
  <printOptions horizontalCentered="1" verticalCentered="1"/>
  <pageMargins left="0.25" right="0.25" top="0.25" bottom="0.25" header="0.3" footer="0.3"/>
  <pageSetup scale="83" orientation="landscape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Q62"/>
  <sheetViews>
    <sheetView zoomScale="70" zoomScaleNormal="70" workbookViewId="0">
      <pane ySplit="1" topLeftCell="A2" activePane="bottomLeft" state="frozen"/>
      <selection sqref="A1:N1"/>
      <selection pane="bottomLeft" activeCell="B5" sqref="B5"/>
    </sheetView>
  </sheetViews>
  <sheetFormatPr defaultColWidth="9.140625" defaultRowHeight="12.75" x14ac:dyDescent="0.2"/>
  <cols>
    <col min="1" max="1" width="3.85546875" style="2" bestFit="1" customWidth="1"/>
    <col min="2" max="2" width="38.5703125" style="75" customWidth="1"/>
    <col min="3" max="3" width="24.42578125" style="2" bestFit="1" customWidth="1"/>
    <col min="4" max="4" width="16.85546875" style="2" bestFit="1" customWidth="1"/>
    <col min="5" max="5" width="21.5703125" style="2" bestFit="1" customWidth="1"/>
    <col min="6" max="6" width="16" style="2" bestFit="1" customWidth="1"/>
    <col min="7" max="7" width="19.5703125" style="2" bestFit="1" customWidth="1"/>
    <col min="8" max="8" width="25.85546875" style="2" bestFit="1" customWidth="1"/>
    <col min="9" max="9" width="18.140625" style="2" bestFit="1" customWidth="1"/>
    <col min="10" max="10" width="22.85546875" style="2" bestFit="1" customWidth="1"/>
    <col min="11" max="11" width="17.28515625" style="2" bestFit="1" customWidth="1"/>
    <col min="12" max="12" width="21" style="2" bestFit="1" customWidth="1"/>
    <col min="13" max="13" width="24" style="2" bestFit="1" customWidth="1"/>
    <col min="14" max="14" width="22" style="2" bestFit="1" customWidth="1"/>
    <col min="15" max="15" width="16.85546875" style="2" bestFit="1" customWidth="1"/>
    <col min="16" max="16" width="16.7109375" style="2" bestFit="1" customWidth="1"/>
    <col min="17" max="16384" width="9.140625" style="2"/>
  </cols>
  <sheetData>
    <row r="1" spans="1:16" ht="33" x14ac:dyDescent="0.45">
      <c r="A1" s="160" t="s">
        <v>241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1"/>
    </row>
    <row r="2" spans="1:16" ht="20.25" x14ac:dyDescent="0.3">
      <c r="A2" s="162" t="s">
        <v>243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1"/>
    </row>
    <row r="3" spans="1:16" ht="18" x14ac:dyDescent="0.2">
      <c r="A3" s="58"/>
      <c r="B3" s="74"/>
      <c r="C3" s="57"/>
      <c r="D3" s="145"/>
      <c r="E3" s="145" t="s">
        <v>217</v>
      </c>
      <c r="F3" s="145"/>
      <c r="G3" s="57"/>
      <c r="H3" s="59"/>
      <c r="I3" s="145"/>
      <c r="J3" s="145" t="s">
        <v>218</v>
      </c>
      <c r="K3" s="145"/>
      <c r="L3" s="145"/>
      <c r="M3" s="164" t="s">
        <v>1</v>
      </c>
      <c r="N3" s="165"/>
      <c r="O3" s="165"/>
      <c r="P3" s="57"/>
    </row>
    <row r="4" spans="1:16" s="3" customFormat="1" x14ac:dyDescent="0.2">
      <c r="A4" s="58"/>
      <c r="B4" s="74" t="s">
        <v>22</v>
      </c>
      <c r="C4" s="57" t="s">
        <v>204</v>
      </c>
      <c r="D4" s="57" t="s">
        <v>174</v>
      </c>
      <c r="E4" s="57" t="s">
        <v>205</v>
      </c>
      <c r="F4" s="57" t="s">
        <v>172</v>
      </c>
      <c r="G4" s="57" t="s">
        <v>206</v>
      </c>
      <c r="H4" s="60" t="s">
        <v>213</v>
      </c>
      <c r="I4" s="57" t="s">
        <v>210</v>
      </c>
      <c r="J4" s="57" t="s">
        <v>211</v>
      </c>
      <c r="K4" s="57" t="s">
        <v>216</v>
      </c>
      <c r="L4" s="57" t="s">
        <v>215</v>
      </c>
      <c r="M4" s="60" t="s">
        <v>214</v>
      </c>
      <c r="N4" s="57" t="s">
        <v>212</v>
      </c>
      <c r="O4" s="57" t="s">
        <v>0</v>
      </c>
      <c r="P4" s="57" t="s">
        <v>25</v>
      </c>
    </row>
    <row r="5" spans="1:16" s="3" customFormat="1" ht="15" x14ac:dyDescent="0.2">
      <c r="A5" s="56">
        <v>1</v>
      </c>
      <c r="B5" s="100" t="s">
        <v>100</v>
      </c>
      <c r="C5" s="52">
        <v>5</v>
      </c>
      <c r="D5" s="51">
        <v>3.89</v>
      </c>
      <c r="E5" s="50">
        <v>16.07</v>
      </c>
      <c r="F5" s="51"/>
      <c r="G5" s="50">
        <f t="shared" ref="G5:G36" si="0">SUM(E5-F5)</f>
        <v>16.07</v>
      </c>
      <c r="H5" s="99">
        <v>5</v>
      </c>
      <c r="I5" s="51">
        <v>4.57</v>
      </c>
      <c r="J5" s="51">
        <v>19.52</v>
      </c>
      <c r="K5" s="51"/>
      <c r="L5" s="50">
        <f t="shared" ref="L5:L36" si="1">SUM(J5-K5)</f>
        <v>19.52</v>
      </c>
      <c r="M5" s="61">
        <f t="shared" ref="M5:M36" si="2">MAX(D5,I5)</f>
        <v>4.57</v>
      </c>
      <c r="N5" s="52">
        <f t="shared" ref="N5:N36" si="3">SUM(C5+H5)</f>
        <v>10</v>
      </c>
      <c r="O5" s="50">
        <f t="shared" ref="O5:O36" si="4">SUM(G5+L5)</f>
        <v>35.590000000000003</v>
      </c>
      <c r="P5" s="62">
        <f t="shared" ref="P5:P36" si="5">IF(A5&lt;31,33-A5,2)</f>
        <v>32</v>
      </c>
    </row>
    <row r="6" spans="1:16" s="3" customFormat="1" ht="14.1" customHeight="1" x14ac:dyDescent="0.2">
      <c r="A6" s="56">
        <v>2</v>
      </c>
      <c r="B6" s="100" t="s">
        <v>138</v>
      </c>
      <c r="C6" s="52">
        <v>5</v>
      </c>
      <c r="D6" s="51">
        <v>4.04</v>
      </c>
      <c r="E6" s="50">
        <v>18.190000000000001</v>
      </c>
      <c r="F6" s="51"/>
      <c r="G6" s="50">
        <f t="shared" si="0"/>
        <v>18.190000000000001</v>
      </c>
      <c r="H6" s="99">
        <v>5</v>
      </c>
      <c r="I6" s="51">
        <v>3.59</v>
      </c>
      <c r="J6" s="51">
        <v>16.55</v>
      </c>
      <c r="K6" s="51"/>
      <c r="L6" s="50">
        <f t="shared" si="1"/>
        <v>16.55</v>
      </c>
      <c r="M6" s="61">
        <f t="shared" si="2"/>
        <v>4.04</v>
      </c>
      <c r="N6" s="52">
        <f t="shared" si="3"/>
        <v>10</v>
      </c>
      <c r="O6" s="50">
        <f t="shared" si="4"/>
        <v>34.74</v>
      </c>
      <c r="P6" s="62">
        <f t="shared" si="5"/>
        <v>31</v>
      </c>
    </row>
    <row r="7" spans="1:16" s="3" customFormat="1" ht="14.1" customHeight="1" x14ac:dyDescent="0.2">
      <c r="A7" s="56">
        <v>3</v>
      </c>
      <c r="B7" s="100" t="s">
        <v>224</v>
      </c>
      <c r="C7" s="52">
        <v>5</v>
      </c>
      <c r="D7" s="51">
        <v>3.14</v>
      </c>
      <c r="E7" s="50">
        <v>13.43</v>
      </c>
      <c r="F7" s="51"/>
      <c r="G7" s="50">
        <f t="shared" si="0"/>
        <v>13.43</v>
      </c>
      <c r="H7" s="99">
        <v>5</v>
      </c>
      <c r="I7" s="51">
        <v>4.17</v>
      </c>
      <c r="J7" s="51">
        <v>18.79</v>
      </c>
      <c r="K7" s="51"/>
      <c r="L7" s="50">
        <f t="shared" si="1"/>
        <v>18.79</v>
      </c>
      <c r="M7" s="61">
        <f t="shared" si="2"/>
        <v>4.17</v>
      </c>
      <c r="N7" s="52">
        <f t="shared" si="3"/>
        <v>10</v>
      </c>
      <c r="O7" s="50">
        <f t="shared" si="4"/>
        <v>32.22</v>
      </c>
      <c r="P7" s="62">
        <f t="shared" si="5"/>
        <v>30</v>
      </c>
    </row>
    <row r="8" spans="1:16" s="3" customFormat="1" ht="14.1" customHeight="1" x14ac:dyDescent="0.2">
      <c r="A8" s="56">
        <v>4</v>
      </c>
      <c r="B8" s="100" t="s">
        <v>168</v>
      </c>
      <c r="C8" s="52">
        <v>5</v>
      </c>
      <c r="D8" s="51">
        <v>4.13</v>
      </c>
      <c r="E8" s="50">
        <v>14.09</v>
      </c>
      <c r="F8" s="51"/>
      <c r="G8" s="50">
        <f t="shared" si="0"/>
        <v>14.09</v>
      </c>
      <c r="H8" s="99">
        <v>4</v>
      </c>
      <c r="I8" s="51">
        <v>3.43</v>
      </c>
      <c r="J8" s="50">
        <v>10.68</v>
      </c>
      <c r="K8" s="51"/>
      <c r="L8" s="50">
        <f t="shared" si="1"/>
        <v>10.68</v>
      </c>
      <c r="M8" s="61">
        <f t="shared" si="2"/>
        <v>4.13</v>
      </c>
      <c r="N8" s="52">
        <f t="shared" si="3"/>
        <v>9</v>
      </c>
      <c r="O8" s="50">
        <f t="shared" si="4"/>
        <v>24.77</v>
      </c>
      <c r="P8" s="62">
        <f t="shared" si="5"/>
        <v>29</v>
      </c>
    </row>
    <row r="9" spans="1:16" s="3" customFormat="1" ht="14.1" customHeight="1" x14ac:dyDescent="0.2">
      <c r="A9" s="56">
        <v>5</v>
      </c>
      <c r="B9" s="100" t="s">
        <v>223</v>
      </c>
      <c r="C9" s="52">
        <v>3</v>
      </c>
      <c r="D9" s="51">
        <v>4.7699999999999996</v>
      </c>
      <c r="E9" s="50">
        <v>8.09</v>
      </c>
      <c r="F9" s="51"/>
      <c r="G9" s="50">
        <f t="shared" si="0"/>
        <v>8.09</v>
      </c>
      <c r="H9" s="99">
        <v>5</v>
      </c>
      <c r="I9" s="51">
        <v>2.73</v>
      </c>
      <c r="J9" s="51">
        <v>12.33</v>
      </c>
      <c r="K9" s="51"/>
      <c r="L9" s="50">
        <f t="shared" si="1"/>
        <v>12.33</v>
      </c>
      <c r="M9" s="61">
        <f t="shared" si="2"/>
        <v>4.7699999999999996</v>
      </c>
      <c r="N9" s="52">
        <f t="shared" si="3"/>
        <v>8</v>
      </c>
      <c r="O9" s="50">
        <f t="shared" si="4"/>
        <v>20.420000000000002</v>
      </c>
      <c r="P9" s="62">
        <f t="shared" si="5"/>
        <v>28</v>
      </c>
    </row>
    <row r="10" spans="1:16" ht="14.1" customHeight="1" x14ac:dyDescent="0.2">
      <c r="A10" s="56">
        <v>6</v>
      </c>
      <c r="B10" s="100" t="s">
        <v>59</v>
      </c>
      <c r="C10" s="52">
        <v>5</v>
      </c>
      <c r="D10" s="51">
        <v>3.1</v>
      </c>
      <c r="E10" s="50">
        <v>11.87</v>
      </c>
      <c r="F10" s="51"/>
      <c r="G10" s="50">
        <f t="shared" si="0"/>
        <v>11.87</v>
      </c>
      <c r="H10" s="99">
        <v>3</v>
      </c>
      <c r="I10" s="51">
        <v>3.51</v>
      </c>
      <c r="J10" s="51">
        <v>8.4600000000000009</v>
      </c>
      <c r="K10" s="51"/>
      <c r="L10" s="50">
        <f t="shared" si="1"/>
        <v>8.4600000000000009</v>
      </c>
      <c r="M10" s="61">
        <f t="shared" si="2"/>
        <v>3.51</v>
      </c>
      <c r="N10" s="52">
        <f t="shared" si="3"/>
        <v>8</v>
      </c>
      <c r="O10" s="50">
        <f t="shared" si="4"/>
        <v>20.329999999999998</v>
      </c>
      <c r="P10" s="62">
        <f t="shared" si="5"/>
        <v>27</v>
      </c>
    </row>
    <row r="11" spans="1:16" ht="14.1" customHeight="1" x14ac:dyDescent="0.2">
      <c r="A11" s="56">
        <v>7</v>
      </c>
      <c r="B11" s="100" t="s">
        <v>81</v>
      </c>
      <c r="C11" s="52">
        <v>5</v>
      </c>
      <c r="D11" s="51">
        <v>3.42</v>
      </c>
      <c r="E11" s="50">
        <v>11.2</v>
      </c>
      <c r="F11" s="51"/>
      <c r="G11" s="50">
        <f t="shared" si="0"/>
        <v>11.2</v>
      </c>
      <c r="H11" s="99">
        <v>3</v>
      </c>
      <c r="I11" s="51"/>
      <c r="J11" s="51">
        <v>8.07</v>
      </c>
      <c r="K11" s="51"/>
      <c r="L11" s="50">
        <f t="shared" si="1"/>
        <v>8.07</v>
      </c>
      <c r="M11" s="61">
        <f t="shared" si="2"/>
        <v>3.42</v>
      </c>
      <c r="N11" s="52">
        <f t="shared" si="3"/>
        <v>8</v>
      </c>
      <c r="O11" s="50">
        <f t="shared" si="4"/>
        <v>19.27</v>
      </c>
      <c r="P11" s="62">
        <f t="shared" si="5"/>
        <v>26</v>
      </c>
    </row>
    <row r="12" spans="1:16" ht="14.1" customHeight="1" x14ac:dyDescent="0.2">
      <c r="A12" s="56">
        <v>8</v>
      </c>
      <c r="B12" s="100" t="s">
        <v>77</v>
      </c>
      <c r="C12" s="52">
        <v>3</v>
      </c>
      <c r="D12" s="51">
        <v>4.1500000000000004</v>
      </c>
      <c r="E12" s="50">
        <v>11.96</v>
      </c>
      <c r="F12" s="51"/>
      <c r="G12" s="50">
        <f t="shared" si="0"/>
        <v>11.96</v>
      </c>
      <c r="H12" s="99">
        <v>3</v>
      </c>
      <c r="I12" s="51"/>
      <c r="J12" s="51">
        <v>6.76</v>
      </c>
      <c r="K12" s="51"/>
      <c r="L12" s="50">
        <f t="shared" si="1"/>
        <v>6.76</v>
      </c>
      <c r="M12" s="61">
        <f t="shared" si="2"/>
        <v>4.1500000000000004</v>
      </c>
      <c r="N12" s="52">
        <f t="shared" si="3"/>
        <v>6</v>
      </c>
      <c r="O12" s="50">
        <f t="shared" si="4"/>
        <v>18.72</v>
      </c>
      <c r="P12" s="62">
        <f t="shared" si="5"/>
        <v>25</v>
      </c>
    </row>
    <row r="13" spans="1:16" ht="15" x14ac:dyDescent="0.2">
      <c r="A13" s="56">
        <v>9</v>
      </c>
      <c r="B13" s="100" t="s">
        <v>33</v>
      </c>
      <c r="C13" s="52">
        <v>3</v>
      </c>
      <c r="D13" s="51">
        <v>3.46</v>
      </c>
      <c r="E13" s="50">
        <v>8.74</v>
      </c>
      <c r="F13" s="51"/>
      <c r="G13" s="50">
        <f t="shared" si="0"/>
        <v>8.74</v>
      </c>
      <c r="H13" s="99">
        <v>4</v>
      </c>
      <c r="I13" s="51">
        <v>3.71</v>
      </c>
      <c r="J13" s="51">
        <v>9.9499999999999993</v>
      </c>
      <c r="K13" s="51"/>
      <c r="L13" s="50">
        <f t="shared" si="1"/>
        <v>9.9499999999999993</v>
      </c>
      <c r="M13" s="61">
        <f t="shared" si="2"/>
        <v>3.71</v>
      </c>
      <c r="N13" s="52">
        <f t="shared" si="3"/>
        <v>7</v>
      </c>
      <c r="O13" s="50">
        <f t="shared" si="4"/>
        <v>18.689999999999998</v>
      </c>
      <c r="P13" s="62">
        <f t="shared" si="5"/>
        <v>24</v>
      </c>
    </row>
    <row r="14" spans="1:16" ht="15" x14ac:dyDescent="0.2">
      <c r="A14" s="56">
        <v>10</v>
      </c>
      <c r="B14" s="100" t="s">
        <v>75</v>
      </c>
      <c r="C14" s="52">
        <v>2</v>
      </c>
      <c r="D14" s="51">
        <v>2.91</v>
      </c>
      <c r="E14" s="50">
        <v>5.14</v>
      </c>
      <c r="F14" s="51"/>
      <c r="G14" s="50">
        <f t="shared" si="0"/>
        <v>5.14</v>
      </c>
      <c r="H14" s="99">
        <v>5</v>
      </c>
      <c r="I14" s="51">
        <v>3.1</v>
      </c>
      <c r="J14" s="50">
        <v>11.74</v>
      </c>
      <c r="K14" s="51">
        <v>0.25</v>
      </c>
      <c r="L14" s="50">
        <f t="shared" si="1"/>
        <v>11.49</v>
      </c>
      <c r="M14" s="61">
        <f t="shared" si="2"/>
        <v>3.1</v>
      </c>
      <c r="N14" s="52">
        <f t="shared" si="3"/>
        <v>7</v>
      </c>
      <c r="O14" s="50">
        <f t="shared" si="4"/>
        <v>16.63</v>
      </c>
      <c r="P14" s="62">
        <f t="shared" si="5"/>
        <v>23</v>
      </c>
    </row>
    <row r="15" spans="1:16" ht="15" x14ac:dyDescent="0.2">
      <c r="A15" s="56">
        <v>11</v>
      </c>
      <c r="B15" s="100" t="s">
        <v>112</v>
      </c>
      <c r="C15" s="52">
        <v>1</v>
      </c>
      <c r="D15" s="51"/>
      <c r="E15" s="50">
        <v>2.58</v>
      </c>
      <c r="F15" s="51"/>
      <c r="G15" s="50">
        <f t="shared" si="0"/>
        <v>2.58</v>
      </c>
      <c r="H15" s="99">
        <v>4</v>
      </c>
      <c r="I15" s="51">
        <v>3.78</v>
      </c>
      <c r="J15" s="51">
        <v>13.79</v>
      </c>
      <c r="K15" s="51"/>
      <c r="L15" s="50">
        <f t="shared" si="1"/>
        <v>13.79</v>
      </c>
      <c r="M15" s="61">
        <f t="shared" si="2"/>
        <v>3.78</v>
      </c>
      <c r="N15" s="52">
        <f t="shared" si="3"/>
        <v>5</v>
      </c>
      <c r="O15" s="50">
        <f t="shared" si="4"/>
        <v>16.369999999999997</v>
      </c>
      <c r="P15" s="62">
        <f t="shared" si="5"/>
        <v>22</v>
      </c>
    </row>
    <row r="16" spans="1:16" ht="15" x14ac:dyDescent="0.2">
      <c r="A16" s="56">
        <v>12</v>
      </c>
      <c r="B16" s="100" t="s">
        <v>227</v>
      </c>
      <c r="C16" s="52">
        <v>4</v>
      </c>
      <c r="D16" s="51">
        <v>3.99</v>
      </c>
      <c r="E16" s="50">
        <v>11.64</v>
      </c>
      <c r="F16" s="51"/>
      <c r="G16" s="50">
        <f t="shared" si="0"/>
        <v>11.64</v>
      </c>
      <c r="H16" s="99">
        <v>2</v>
      </c>
      <c r="I16" s="51"/>
      <c r="J16" s="51">
        <v>3.37</v>
      </c>
      <c r="K16" s="51"/>
      <c r="L16" s="50">
        <f t="shared" si="1"/>
        <v>3.37</v>
      </c>
      <c r="M16" s="61">
        <f t="shared" si="2"/>
        <v>3.99</v>
      </c>
      <c r="N16" s="52">
        <f t="shared" si="3"/>
        <v>6</v>
      </c>
      <c r="O16" s="50">
        <f t="shared" si="4"/>
        <v>15.010000000000002</v>
      </c>
      <c r="P16" s="62">
        <f t="shared" si="5"/>
        <v>21</v>
      </c>
    </row>
    <row r="17" spans="1:16" ht="15" x14ac:dyDescent="0.2">
      <c r="A17" s="56">
        <v>13</v>
      </c>
      <c r="B17" s="100" t="s">
        <v>163</v>
      </c>
      <c r="C17" s="52">
        <v>1</v>
      </c>
      <c r="D17" s="51">
        <v>4.0199999999999996</v>
      </c>
      <c r="E17" s="50">
        <v>4.0199999999999996</v>
      </c>
      <c r="F17" s="51"/>
      <c r="G17" s="50">
        <f t="shared" si="0"/>
        <v>4.0199999999999996</v>
      </c>
      <c r="H17" s="99">
        <v>3</v>
      </c>
      <c r="I17" s="51">
        <v>3.04</v>
      </c>
      <c r="J17" s="51">
        <v>7.65</v>
      </c>
      <c r="K17" s="51"/>
      <c r="L17" s="50">
        <f t="shared" si="1"/>
        <v>7.65</v>
      </c>
      <c r="M17" s="61">
        <f t="shared" si="2"/>
        <v>4.0199999999999996</v>
      </c>
      <c r="N17" s="52">
        <f t="shared" si="3"/>
        <v>4</v>
      </c>
      <c r="O17" s="50">
        <f t="shared" si="4"/>
        <v>11.67</v>
      </c>
      <c r="P17" s="62">
        <f t="shared" si="5"/>
        <v>20</v>
      </c>
    </row>
    <row r="18" spans="1:16" ht="15" x14ac:dyDescent="0.2">
      <c r="A18" s="56">
        <v>14</v>
      </c>
      <c r="B18" s="100" t="s">
        <v>232</v>
      </c>
      <c r="C18" s="52">
        <v>2</v>
      </c>
      <c r="D18" s="51"/>
      <c r="E18" s="50">
        <v>3.42</v>
      </c>
      <c r="F18" s="51"/>
      <c r="G18" s="50">
        <f t="shared" si="0"/>
        <v>3.42</v>
      </c>
      <c r="H18" s="99">
        <v>3</v>
      </c>
      <c r="I18" s="51"/>
      <c r="J18" s="50">
        <v>8.08</v>
      </c>
      <c r="K18" s="51"/>
      <c r="L18" s="50">
        <f t="shared" si="1"/>
        <v>8.08</v>
      </c>
      <c r="M18" s="61">
        <f t="shared" si="2"/>
        <v>0</v>
      </c>
      <c r="N18" s="52">
        <f t="shared" si="3"/>
        <v>5</v>
      </c>
      <c r="O18" s="50">
        <f t="shared" si="4"/>
        <v>11.5</v>
      </c>
      <c r="P18" s="62">
        <f t="shared" si="5"/>
        <v>19</v>
      </c>
    </row>
    <row r="19" spans="1:16" ht="15" x14ac:dyDescent="0.2">
      <c r="A19" s="56">
        <v>15</v>
      </c>
      <c r="B19" s="100" t="s">
        <v>31</v>
      </c>
      <c r="C19" s="52">
        <v>1</v>
      </c>
      <c r="D19" s="51"/>
      <c r="E19" s="50">
        <v>1.85</v>
      </c>
      <c r="F19" s="51"/>
      <c r="G19" s="50">
        <f t="shared" si="0"/>
        <v>1.85</v>
      </c>
      <c r="H19" s="99">
        <v>3</v>
      </c>
      <c r="I19" s="51">
        <v>3.65</v>
      </c>
      <c r="J19" s="51">
        <v>9.64</v>
      </c>
      <c r="K19" s="51"/>
      <c r="L19" s="50">
        <f t="shared" si="1"/>
        <v>9.64</v>
      </c>
      <c r="M19" s="61">
        <f t="shared" si="2"/>
        <v>3.65</v>
      </c>
      <c r="N19" s="52">
        <f t="shared" si="3"/>
        <v>4</v>
      </c>
      <c r="O19" s="50">
        <f t="shared" si="4"/>
        <v>11.49</v>
      </c>
      <c r="P19" s="62">
        <f t="shared" si="5"/>
        <v>18</v>
      </c>
    </row>
    <row r="20" spans="1:16" ht="15" x14ac:dyDescent="0.2">
      <c r="A20" s="56">
        <v>16</v>
      </c>
      <c r="B20" s="100" t="s">
        <v>221</v>
      </c>
      <c r="C20" s="52">
        <v>0</v>
      </c>
      <c r="D20" s="51"/>
      <c r="E20" s="50">
        <v>0</v>
      </c>
      <c r="F20" s="51"/>
      <c r="G20" s="50">
        <f t="shared" si="0"/>
        <v>0</v>
      </c>
      <c r="H20" s="99">
        <v>5</v>
      </c>
      <c r="I20" s="51">
        <v>2.67</v>
      </c>
      <c r="J20" s="51">
        <v>10.9</v>
      </c>
      <c r="K20" s="51"/>
      <c r="L20" s="50">
        <f t="shared" si="1"/>
        <v>10.9</v>
      </c>
      <c r="M20" s="61">
        <f t="shared" si="2"/>
        <v>2.67</v>
      </c>
      <c r="N20" s="52">
        <f t="shared" si="3"/>
        <v>5</v>
      </c>
      <c r="O20" s="50">
        <f t="shared" si="4"/>
        <v>10.9</v>
      </c>
      <c r="P20" s="62">
        <f t="shared" si="5"/>
        <v>17</v>
      </c>
    </row>
    <row r="21" spans="1:16" ht="15" x14ac:dyDescent="0.2">
      <c r="A21" s="56">
        <v>17</v>
      </c>
      <c r="B21" s="100" t="s">
        <v>229</v>
      </c>
      <c r="C21" s="52">
        <v>1</v>
      </c>
      <c r="D21" s="51"/>
      <c r="E21" s="50">
        <v>2.5099999999999998</v>
      </c>
      <c r="F21" s="51"/>
      <c r="G21" s="50">
        <f t="shared" si="0"/>
        <v>2.5099999999999998</v>
      </c>
      <c r="H21" s="99">
        <v>2</v>
      </c>
      <c r="I21" s="51">
        <v>3.34</v>
      </c>
      <c r="J21" s="51">
        <v>5</v>
      </c>
      <c r="K21" s="51"/>
      <c r="L21" s="50">
        <f t="shared" si="1"/>
        <v>5</v>
      </c>
      <c r="M21" s="61">
        <f t="shared" si="2"/>
        <v>3.34</v>
      </c>
      <c r="N21" s="52">
        <f t="shared" si="3"/>
        <v>3</v>
      </c>
      <c r="O21" s="50">
        <f t="shared" si="4"/>
        <v>7.51</v>
      </c>
      <c r="P21" s="62">
        <f t="shared" si="5"/>
        <v>16</v>
      </c>
    </row>
    <row r="22" spans="1:16" ht="15" x14ac:dyDescent="0.2">
      <c r="A22" s="56">
        <v>18</v>
      </c>
      <c r="B22" s="100" t="s">
        <v>84</v>
      </c>
      <c r="C22" s="52">
        <v>3</v>
      </c>
      <c r="D22" s="51">
        <v>3.13</v>
      </c>
      <c r="E22" s="50">
        <v>7.29</v>
      </c>
      <c r="F22" s="51"/>
      <c r="G22" s="50">
        <f t="shared" si="0"/>
        <v>7.29</v>
      </c>
      <c r="H22" s="99">
        <v>0</v>
      </c>
      <c r="I22" s="51"/>
      <c r="J22" s="51">
        <v>0</v>
      </c>
      <c r="K22" s="51"/>
      <c r="L22" s="50">
        <f t="shared" si="1"/>
        <v>0</v>
      </c>
      <c r="M22" s="61">
        <f t="shared" si="2"/>
        <v>3.13</v>
      </c>
      <c r="N22" s="52">
        <f t="shared" si="3"/>
        <v>3</v>
      </c>
      <c r="O22" s="50">
        <f t="shared" si="4"/>
        <v>7.29</v>
      </c>
      <c r="P22" s="62">
        <f t="shared" si="5"/>
        <v>15</v>
      </c>
    </row>
    <row r="23" spans="1:16" ht="15" x14ac:dyDescent="0.2">
      <c r="A23" s="56">
        <v>19</v>
      </c>
      <c r="B23" s="100" t="s">
        <v>54</v>
      </c>
      <c r="C23" s="52">
        <v>1</v>
      </c>
      <c r="D23" s="51"/>
      <c r="E23" s="50">
        <v>1.97</v>
      </c>
      <c r="F23" s="51"/>
      <c r="G23" s="50">
        <f t="shared" si="0"/>
        <v>1.97</v>
      </c>
      <c r="H23" s="99">
        <v>1</v>
      </c>
      <c r="I23" s="51"/>
      <c r="J23" s="50">
        <v>4.3499999999999996</v>
      </c>
      <c r="K23" s="51"/>
      <c r="L23" s="50">
        <f t="shared" si="1"/>
        <v>4.3499999999999996</v>
      </c>
      <c r="M23" s="61">
        <f t="shared" si="2"/>
        <v>0</v>
      </c>
      <c r="N23" s="52">
        <f t="shared" si="3"/>
        <v>2</v>
      </c>
      <c r="O23" s="50">
        <f t="shared" si="4"/>
        <v>6.3199999999999994</v>
      </c>
      <c r="P23" s="62">
        <f t="shared" si="5"/>
        <v>14</v>
      </c>
    </row>
    <row r="24" spans="1:16" ht="15" x14ac:dyDescent="0.2">
      <c r="A24" s="56">
        <v>20</v>
      </c>
      <c r="B24" s="100" t="s">
        <v>182</v>
      </c>
      <c r="C24" s="52">
        <v>1</v>
      </c>
      <c r="D24" s="51"/>
      <c r="E24" s="50">
        <v>1.71</v>
      </c>
      <c r="F24" s="51"/>
      <c r="G24" s="50">
        <f t="shared" si="0"/>
        <v>1.71</v>
      </c>
      <c r="H24" s="99">
        <v>2</v>
      </c>
      <c r="I24" s="51">
        <v>3.21</v>
      </c>
      <c r="J24" s="50">
        <v>4.22</v>
      </c>
      <c r="K24" s="51"/>
      <c r="L24" s="50">
        <f t="shared" si="1"/>
        <v>4.22</v>
      </c>
      <c r="M24" s="61">
        <f t="shared" si="2"/>
        <v>3.21</v>
      </c>
      <c r="N24" s="52">
        <f t="shared" si="3"/>
        <v>3</v>
      </c>
      <c r="O24" s="50">
        <f t="shared" si="4"/>
        <v>5.93</v>
      </c>
      <c r="P24" s="62">
        <f t="shared" si="5"/>
        <v>13</v>
      </c>
    </row>
    <row r="25" spans="1:16" ht="15" x14ac:dyDescent="0.2">
      <c r="A25" s="56">
        <v>21</v>
      </c>
      <c r="B25" s="100" t="s">
        <v>180</v>
      </c>
      <c r="C25" s="52">
        <v>1</v>
      </c>
      <c r="D25" s="51"/>
      <c r="E25" s="50">
        <v>1.89</v>
      </c>
      <c r="F25" s="51"/>
      <c r="G25" s="50">
        <f t="shared" si="0"/>
        <v>1.89</v>
      </c>
      <c r="H25" s="99">
        <v>2</v>
      </c>
      <c r="I25" s="51">
        <v>1.63</v>
      </c>
      <c r="J25" s="50">
        <v>3.5</v>
      </c>
      <c r="K25" s="51"/>
      <c r="L25" s="50">
        <f t="shared" si="1"/>
        <v>3.5</v>
      </c>
      <c r="M25" s="61">
        <f t="shared" si="2"/>
        <v>1.63</v>
      </c>
      <c r="N25" s="52">
        <f t="shared" si="3"/>
        <v>3</v>
      </c>
      <c r="O25" s="50">
        <f t="shared" si="4"/>
        <v>5.39</v>
      </c>
      <c r="P25" s="62">
        <f t="shared" si="5"/>
        <v>12</v>
      </c>
    </row>
    <row r="26" spans="1:16" ht="15" x14ac:dyDescent="0.2">
      <c r="A26" s="56">
        <v>22</v>
      </c>
      <c r="B26" s="100" t="s">
        <v>99</v>
      </c>
      <c r="C26" s="52">
        <v>1</v>
      </c>
      <c r="D26" s="51"/>
      <c r="E26" s="50">
        <v>2.37</v>
      </c>
      <c r="F26" s="51"/>
      <c r="G26" s="50">
        <f t="shared" si="0"/>
        <v>2.37</v>
      </c>
      <c r="H26" s="99">
        <v>0</v>
      </c>
      <c r="I26" s="51"/>
      <c r="J26" s="51">
        <v>0</v>
      </c>
      <c r="K26" s="51"/>
      <c r="L26" s="50">
        <f t="shared" si="1"/>
        <v>0</v>
      </c>
      <c r="M26" s="61">
        <f t="shared" si="2"/>
        <v>0</v>
      </c>
      <c r="N26" s="52">
        <f t="shared" si="3"/>
        <v>1</v>
      </c>
      <c r="O26" s="50">
        <f t="shared" si="4"/>
        <v>2.37</v>
      </c>
      <c r="P26" s="62">
        <f t="shared" si="5"/>
        <v>11</v>
      </c>
    </row>
    <row r="27" spans="1:16" ht="15" x14ac:dyDescent="0.2">
      <c r="A27" s="56">
        <v>23</v>
      </c>
      <c r="B27" s="100" t="s">
        <v>97</v>
      </c>
      <c r="C27" s="52">
        <v>0</v>
      </c>
      <c r="D27" s="51"/>
      <c r="E27" s="50">
        <v>0</v>
      </c>
      <c r="F27" s="51"/>
      <c r="G27" s="50">
        <f t="shared" si="0"/>
        <v>0</v>
      </c>
      <c r="H27" s="99">
        <v>1</v>
      </c>
      <c r="I27" s="51"/>
      <c r="J27" s="51">
        <v>1.74</v>
      </c>
      <c r="K27" s="51"/>
      <c r="L27" s="50">
        <f t="shared" si="1"/>
        <v>1.74</v>
      </c>
      <c r="M27" s="61">
        <f t="shared" si="2"/>
        <v>0</v>
      </c>
      <c r="N27" s="52">
        <f t="shared" si="3"/>
        <v>1</v>
      </c>
      <c r="O27" s="50">
        <f t="shared" si="4"/>
        <v>1.74</v>
      </c>
      <c r="P27" s="62">
        <f t="shared" si="5"/>
        <v>10</v>
      </c>
    </row>
    <row r="28" spans="1:16" ht="15" x14ac:dyDescent="0.2">
      <c r="A28" s="56">
        <v>24</v>
      </c>
      <c r="B28" s="100" t="s">
        <v>170</v>
      </c>
      <c r="C28" s="52">
        <v>0</v>
      </c>
      <c r="D28" s="51"/>
      <c r="E28" s="50">
        <v>0</v>
      </c>
      <c r="F28" s="51"/>
      <c r="G28" s="50">
        <f t="shared" si="0"/>
        <v>0</v>
      </c>
      <c r="H28" s="99">
        <v>0</v>
      </c>
      <c r="I28" s="51"/>
      <c r="J28" s="51">
        <v>0</v>
      </c>
      <c r="K28" s="51"/>
      <c r="L28" s="50">
        <f t="shared" si="1"/>
        <v>0</v>
      </c>
      <c r="M28" s="61">
        <f t="shared" si="2"/>
        <v>0</v>
      </c>
      <c r="N28" s="52">
        <f t="shared" si="3"/>
        <v>0</v>
      </c>
      <c r="O28" s="50">
        <f t="shared" si="4"/>
        <v>0</v>
      </c>
      <c r="P28" s="62">
        <v>2</v>
      </c>
    </row>
    <row r="29" spans="1:16" ht="15" x14ac:dyDescent="0.2">
      <c r="A29" s="56">
        <v>25</v>
      </c>
      <c r="B29" s="100" t="s">
        <v>157</v>
      </c>
      <c r="C29" s="52">
        <v>0</v>
      </c>
      <c r="D29" s="51"/>
      <c r="E29" s="50">
        <v>0</v>
      </c>
      <c r="F29" s="51"/>
      <c r="G29" s="50">
        <f t="shared" si="0"/>
        <v>0</v>
      </c>
      <c r="H29" s="99">
        <v>0</v>
      </c>
      <c r="I29" s="51"/>
      <c r="J29" s="51">
        <v>0</v>
      </c>
      <c r="K29" s="51"/>
      <c r="L29" s="50">
        <f t="shared" si="1"/>
        <v>0</v>
      </c>
      <c r="M29" s="61">
        <f t="shared" si="2"/>
        <v>0</v>
      </c>
      <c r="N29" s="52">
        <f t="shared" si="3"/>
        <v>0</v>
      </c>
      <c r="O29" s="50">
        <f t="shared" si="4"/>
        <v>0</v>
      </c>
      <c r="P29" s="62">
        <v>2</v>
      </c>
    </row>
    <row r="30" spans="1:16" ht="15" x14ac:dyDescent="0.2">
      <c r="A30" s="56">
        <v>26</v>
      </c>
      <c r="B30" s="101" t="s">
        <v>56</v>
      </c>
      <c r="C30" s="52">
        <v>0</v>
      </c>
      <c r="D30" s="51"/>
      <c r="E30" s="50">
        <v>0</v>
      </c>
      <c r="F30" s="51"/>
      <c r="G30" s="50">
        <f t="shared" si="0"/>
        <v>0</v>
      </c>
      <c r="H30" s="99">
        <v>0</v>
      </c>
      <c r="I30" s="51"/>
      <c r="J30" s="51">
        <v>0</v>
      </c>
      <c r="K30" s="51"/>
      <c r="L30" s="50">
        <f t="shared" si="1"/>
        <v>0</v>
      </c>
      <c r="M30" s="61">
        <f t="shared" si="2"/>
        <v>0</v>
      </c>
      <c r="N30" s="52">
        <f t="shared" si="3"/>
        <v>0</v>
      </c>
      <c r="O30" s="50">
        <f t="shared" si="4"/>
        <v>0</v>
      </c>
      <c r="P30" s="62">
        <v>2</v>
      </c>
    </row>
    <row r="31" spans="1:16" ht="15" x14ac:dyDescent="0.2">
      <c r="A31" s="56">
        <v>27</v>
      </c>
      <c r="B31" s="100" t="s">
        <v>48</v>
      </c>
      <c r="C31" s="52">
        <v>0</v>
      </c>
      <c r="D31" s="51"/>
      <c r="E31" s="50">
        <v>0</v>
      </c>
      <c r="F31" s="51"/>
      <c r="G31" s="50">
        <f t="shared" si="0"/>
        <v>0</v>
      </c>
      <c r="H31" s="99">
        <v>0</v>
      </c>
      <c r="I31" s="51"/>
      <c r="J31" s="50">
        <v>0</v>
      </c>
      <c r="K31" s="51"/>
      <c r="L31" s="50">
        <f t="shared" si="1"/>
        <v>0</v>
      </c>
      <c r="M31" s="61">
        <f t="shared" si="2"/>
        <v>0</v>
      </c>
      <c r="N31" s="52">
        <f t="shared" si="3"/>
        <v>0</v>
      </c>
      <c r="O31" s="50">
        <f t="shared" si="4"/>
        <v>0</v>
      </c>
      <c r="P31" s="62">
        <v>2</v>
      </c>
    </row>
    <row r="32" spans="1:16" ht="15" hidden="1" x14ac:dyDescent="0.2">
      <c r="A32" s="56">
        <v>28</v>
      </c>
      <c r="B32" s="100"/>
      <c r="C32" s="52"/>
      <c r="D32" s="51"/>
      <c r="E32" s="50"/>
      <c r="F32" s="51"/>
      <c r="G32" s="50">
        <f t="shared" si="0"/>
        <v>0</v>
      </c>
      <c r="H32" s="99"/>
      <c r="I32" s="51"/>
      <c r="J32" s="51"/>
      <c r="K32" s="51"/>
      <c r="L32" s="50">
        <f t="shared" si="1"/>
        <v>0</v>
      </c>
      <c r="M32" s="61">
        <f t="shared" si="2"/>
        <v>0</v>
      </c>
      <c r="N32" s="52">
        <f t="shared" si="3"/>
        <v>0</v>
      </c>
      <c r="O32" s="50">
        <f t="shared" si="4"/>
        <v>0</v>
      </c>
      <c r="P32" s="62">
        <f t="shared" si="5"/>
        <v>5</v>
      </c>
    </row>
    <row r="33" spans="1:16" ht="15" hidden="1" x14ac:dyDescent="0.2">
      <c r="A33" s="56">
        <v>29</v>
      </c>
      <c r="B33" s="101"/>
      <c r="C33" s="52"/>
      <c r="D33" s="51"/>
      <c r="E33" s="51"/>
      <c r="F33" s="50"/>
      <c r="G33" s="50">
        <f t="shared" si="0"/>
        <v>0</v>
      </c>
      <c r="H33" s="99"/>
      <c r="I33" s="52"/>
      <c r="J33" s="50"/>
      <c r="K33" s="51"/>
      <c r="L33" s="50">
        <f t="shared" si="1"/>
        <v>0</v>
      </c>
      <c r="M33" s="61">
        <f t="shared" si="2"/>
        <v>0</v>
      </c>
      <c r="N33" s="52">
        <f t="shared" si="3"/>
        <v>0</v>
      </c>
      <c r="O33" s="50">
        <f t="shared" si="4"/>
        <v>0</v>
      </c>
      <c r="P33" s="62">
        <f t="shared" si="5"/>
        <v>4</v>
      </c>
    </row>
    <row r="34" spans="1:16" ht="15" hidden="1" x14ac:dyDescent="0.2">
      <c r="A34" s="56">
        <v>30</v>
      </c>
      <c r="B34" s="100"/>
      <c r="C34" s="52"/>
      <c r="D34" s="51"/>
      <c r="E34" s="50"/>
      <c r="F34" s="51"/>
      <c r="G34" s="50">
        <f t="shared" si="0"/>
        <v>0</v>
      </c>
      <c r="H34" s="52"/>
      <c r="I34" s="51"/>
      <c r="J34" s="51"/>
      <c r="K34" s="51"/>
      <c r="L34" s="50">
        <f t="shared" si="1"/>
        <v>0</v>
      </c>
      <c r="M34" s="61">
        <f t="shared" si="2"/>
        <v>0</v>
      </c>
      <c r="N34" s="52">
        <f t="shared" si="3"/>
        <v>0</v>
      </c>
      <c r="O34" s="50">
        <f t="shared" si="4"/>
        <v>0</v>
      </c>
      <c r="P34" s="62">
        <f t="shared" si="5"/>
        <v>3</v>
      </c>
    </row>
    <row r="35" spans="1:16" ht="15" hidden="1" x14ac:dyDescent="0.2">
      <c r="A35" s="56">
        <v>31</v>
      </c>
      <c r="B35" s="100"/>
      <c r="C35" s="106"/>
      <c r="D35" s="107"/>
      <c r="E35" s="108"/>
      <c r="F35" s="107"/>
      <c r="G35" s="108">
        <f t="shared" si="0"/>
        <v>0</v>
      </c>
      <c r="H35" s="99"/>
      <c r="I35" s="107"/>
      <c r="J35" s="107"/>
      <c r="K35" s="107"/>
      <c r="L35" s="108">
        <f t="shared" si="1"/>
        <v>0</v>
      </c>
      <c r="M35" s="61">
        <f t="shared" si="2"/>
        <v>0</v>
      </c>
      <c r="N35" s="106">
        <f t="shared" si="3"/>
        <v>0</v>
      </c>
      <c r="O35" s="108">
        <f t="shared" si="4"/>
        <v>0</v>
      </c>
      <c r="P35" s="62">
        <f t="shared" si="5"/>
        <v>2</v>
      </c>
    </row>
    <row r="36" spans="1:16" ht="15" hidden="1" x14ac:dyDescent="0.2">
      <c r="A36" s="56">
        <v>32</v>
      </c>
      <c r="B36" s="100"/>
      <c r="C36" s="106"/>
      <c r="D36" s="107"/>
      <c r="E36" s="108"/>
      <c r="F36" s="107"/>
      <c r="G36" s="108">
        <f t="shared" si="0"/>
        <v>0</v>
      </c>
      <c r="H36" s="99"/>
      <c r="I36" s="107"/>
      <c r="J36" s="107"/>
      <c r="K36" s="107"/>
      <c r="L36" s="108">
        <f t="shared" si="1"/>
        <v>0</v>
      </c>
      <c r="M36" s="61">
        <f t="shared" si="2"/>
        <v>0</v>
      </c>
      <c r="N36" s="106">
        <f t="shared" si="3"/>
        <v>0</v>
      </c>
      <c r="O36" s="108">
        <f t="shared" si="4"/>
        <v>0</v>
      </c>
      <c r="P36" s="62">
        <f t="shared" si="5"/>
        <v>2</v>
      </c>
    </row>
    <row r="37" spans="1:16" ht="15" hidden="1" x14ac:dyDescent="0.2">
      <c r="A37" s="56">
        <v>33</v>
      </c>
      <c r="B37" s="100"/>
      <c r="C37" s="106"/>
      <c r="D37" s="107"/>
      <c r="E37" s="108"/>
      <c r="F37" s="107"/>
      <c r="G37" s="108">
        <f t="shared" ref="G37:G55" si="6">SUM(E37-F37)</f>
        <v>0</v>
      </c>
      <c r="H37" s="99"/>
      <c r="I37" s="107"/>
      <c r="J37" s="107"/>
      <c r="K37" s="107"/>
      <c r="L37" s="108">
        <f t="shared" ref="L37:L55" si="7">SUM(J37-K37)</f>
        <v>0</v>
      </c>
      <c r="M37" s="61">
        <f t="shared" ref="M37:M55" si="8">MAX(D37,I37)</f>
        <v>0</v>
      </c>
      <c r="N37" s="106">
        <f t="shared" ref="N37:N55" si="9">SUM(C37+H37)</f>
        <v>0</v>
      </c>
      <c r="O37" s="108">
        <f t="shared" ref="O37:O55" si="10">SUM(G37+L37)</f>
        <v>0</v>
      </c>
      <c r="P37" s="62">
        <f t="shared" ref="P37:P55" si="11">IF(A37&lt;31,33-A37,2)</f>
        <v>2</v>
      </c>
    </row>
    <row r="38" spans="1:16" ht="15" hidden="1" x14ac:dyDescent="0.2">
      <c r="A38" s="56">
        <v>34</v>
      </c>
      <c r="B38" s="100"/>
      <c r="C38" s="106"/>
      <c r="D38" s="107"/>
      <c r="E38" s="108"/>
      <c r="F38" s="107"/>
      <c r="G38" s="108">
        <f t="shared" si="6"/>
        <v>0</v>
      </c>
      <c r="H38" s="99"/>
      <c r="I38" s="107"/>
      <c r="J38" s="107"/>
      <c r="K38" s="107"/>
      <c r="L38" s="108">
        <f t="shared" si="7"/>
        <v>0</v>
      </c>
      <c r="M38" s="61">
        <f t="shared" si="8"/>
        <v>0</v>
      </c>
      <c r="N38" s="106">
        <f t="shared" si="9"/>
        <v>0</v>
      </c>
      <c r="O38" s="108">
        <f t="shared" si="10"/>
        <v>0</v>
      </c>
      <c r="P38" s="62">
        <f t="shared" si="11"/>
        <v>2</v>
      </c>
    </row>
    <row r="39" spans="1:16" ht="15" hidden="1" x14ac:dyDescent="0.2">
      <c r="A39" s="56">
        <v>35</v>
      </c>
      <c r="B39" s="100"/>
      <c r="C39" s="106"/>
      <c r="D39" s="107"/>
      <c r="E39" s="108"/>
      <c r="F39" s="107"/>
      <c r="G39" s="108">
        <f t="shared" si="6"/>
        <v>0</v>
      </c>
      <c r="H39" s="99"/>
      <c r="I39" s="107"/>
      <c r="J39" s="107"/>
      <c r="K39" s="107"/>
      <c r="L39" s="108">
        <f t="shared" si="7"/>
        <v>0</v>
      </c>
      <c r="M39" s="61">
        <f t="shared" si="8"/>
        <v>0</v>
      </c>
      <c r="N39" s="106">
        <f t="shared" si="9"/>
        <v>0</v>
      </c>
      <c r="O39" s="108">
        <f t="shared" si="10"/>
        <v>0</v>
      </c>
      <c r="P39" s="62">
        <f t="shared" si="11"/>
        <v>2</v>
      </c>
    </row>
    <row r="40" spans="1:16" ht="15" hidden="1" x14ac:dyDescent="0.2">
      <c r="A40" s="56">
        <v>36</v>
      </c>
      <c r="B40" s="100"/>
      <c r="C40" s="106"/>
      <c r="D40" s="107"/>
      <c r="E40" s="108"/>
      <c r="F40" s="107"/>
      <c r="G40" s="108">
        <f t="shared" si="6"/>
        <v>0</v>
      </c>
      <c r="H40" s="99"/>
      <c r="I40" s="107"/>
      <c r="J40" s="107"/>
      <c r="K40" s="107"/>
      <c r="L40" s="108">
        <f t="shared" si="7"/>
        <v>0</v>
      </c>
      <c r="M40" s="61">
        <f t="shared" si="8"/>
        <v>0</v>
      </c>
      <c r="N40" s="106">
        <f t="shared" si="9"/>
        <v>0</v>
      </c>
      <c r="O40" s="108">
        <f t="shared" si="10"/>
        <v>0</v>
      </c>
      <c r="P40" s="62">
        <f t="shared" si="11"/>
        <v>2</v>
      </c>
    </row>
    <row r="41" spans="1:16" ht="15" hidden="1" x14ac:dyDescent="0.2">
      <c r="A41" s="56">
        <v>37</v>
      </c>
      <c r="B41" s="100"/>
      <c r="C41" s="106"/>
      <c r="D41" s="107"/>
      <c r="E41" s="108"/>
      <c r="F41" s="107"/>
      <c r="G41" s="108">
        <f t="shared" si="6"/>
        <v>0</v>
      </c>
      <c r="H41" s="99"/>
      <c r="I41" s="107"/>
      <c r="J41" s="107"/>
      <c r="K41" s="107"/>
      <c r="L41" s="108">
        <f t="shared" si="7"/>
        <v>0</v>
      </c>
      <c r="M41" s="61">
        <f t="shared" si="8"/>
        <v>0</v>
      </c>
      <c r="N41" s="106">
        <f t="shared" si="9"/>
        <v>0</v>
      </c>
      <c r="O41" s="108">
        <f t="shared" si="10"/>
        <v>0</v>
      </c>
      <c r="P41" s="62">
        <f t="shared" si="11"/>
        <v>2</v>
      </c>
    </row>
    <row r="42" spans="1:16" ht="15" hidden="1" x14ac:dyDescent="0.2">
      <c r="A42" s="56">
        <v>38</v>
      </c>
      <c r="B42" s="100"/>
      <c r="C42" s="106"/>
      <c r="D42" s="107"/>
      <c r="E42" s="108"/>
      <c r="F42" s="107"/>
      <c r="G42" s="108">
        <f t="shared" si="6"/>
        <v>0</v>
      </c>
      <c r="H42" s="99"/>
      <c r="I42" s="107"/>
      <c r="J42" s="107"/>
      <c r="K42" s="107"/>
      <c r="L42" s="108">
        <f t="shared" si="7"/>
        <v>0</v>
      </c>
      <c r="M42" s="61">
        <f t="shared" si="8"/>
        <v>0</v>
      </c>
      <c r="N42" s="106">
        <f t="shared" si="9"/>
        <v>0</v>
      </c>
      <c r="O42" s="108">
        <f t="shared" si="10"/>
        <v>0</v>
      </c>
      <c r="P42" s="62">
        <f t="shared" si="11"/>
        <v>2</v>
      </c>
    </row>
    <row r="43" spans="1:16" ht="15" hidden="1" x14ac:dyDescent="0.2">
      <c r="A43" s="56">
        <v>39</v>
      </c>
      <c r="B43" s="100"/>
      <c r="C43" s="106"/>
      <c r="D43" s="107"/>
      <c r="E43" s="108"/>
      <c r="F43" s="107"/>
      <c r="G43" s="108">
        <f t="shared" si="6"/>
        <v>0</v>
      </c>
      <c r="H43" s="99"/>
      <c r="I43" s="107"/>
      <c r="J43" s="107"/>
      <c r="K43" s="107"/>
      <c r="L43" s="108">
        <f t="shared" si="7"/>
        <v>0</v>
      </c>
      <c r="M43" s="61">
        <f t="shared" si="8"/>
        <v>0</v>
      </c>
      <c r="N43" s="106">
        <f t="shared" si="9"/>
        <v>0</v>
      </c>
      <c r="O43" s="108">
        <f t="shared" si="10"/>
        <v>0</v>
      </c>
      <c r="P43" s="62">
        <f t="shared" si="11"/>
        <v>2</v>
      </c>
    </row>
    <row r="44" spans="1:16" ht="15" hidden="1" x14ac:dyDescent="0.2">
      <c r="A44" s="56">
        <v>40</v>
      </c>
      <c r="B44" s="100"/>
      <c r="C44" s="106"/>
      <c r="D44" s="107"/>
      <c r="E44" s="108"/>
      <c r="F44" s="107"/>
      <c r="G44" s="108">
        <f t="shared" si="6"/>
        <v>0</v>
      </c>
      <c r="H44" s="99"/>
      <c r="I44" s="107"/>
      <c r="J44" s="107"/>
      <c r="K44" s="107"/>
      <c r="L44" s="108">
        <f t="shared" si="7"/>
        <v>0</v>
      </c>
      <c r="M44" s="61">
        <f t="shared" si="8"/>
        <v>0</v>
      </c>
      <c r="N44" s="106">
        <f t="shared" si="9"/>
        <v>0</v>
      </c>
      <c r="O44" s="108">
        <f t="shared" si="10"/>
        <v>0</v>
      </c>
      <c r="P44" s="62">
        <f t="shared" si="11"/>
        <v>2</v>
      </c>
    </row>
    <row r="45" spans="1:16" ht="15" hidden="1" x14ac:dyDescent="0.2">
      <c r="A45" s="56">
        <v>41</v>
      </c>
      <c r="B45" s="100"/>
      <c r="C45" s="106"/>
      <c r="D45" s="107"/>
      <c r="E45" s="108"/>
      <c r="F45" s="107"/>
      <c r="G45" s="108">
        <f t="shared" si="6"/>
        <v>0</v>
      </c>
      <c r="H45" s="99"/>
      <c r="I45" s="107"/>
      <c r="J45" s="107"/>
      <c r="K45" s="107"/>
      <c r="L45" s="108">
        <f t="shared" si="7"/>
        <v>0</v>
      </c>
      <c r="M45" s="61">
        <f t="shared" si="8"/>
        <v>0</v>
      </c>
      <c r="N45" s="106">
        <f t="shared" si="9"/>
        <v>0</v>
      </c>
      <c r="O45" s="108">
        <f t="shared" si="10"/>
        <v>0</v>
      </c>
      <c r="P45" s="62">
        <f t="shared" si="11"/>
        <v>2</v>
      </c>
    </row>
    <row r="46" spans="1:16" ht="15" hidden="1" x14ac:dyDescent="0.2">
      <c r="A46" s="56">
        <v>42</v>
      </c>
      <c r="B46" s="100"/>
      <c r="C46" s="106"/>
      <c r="D46" s="107"/>
      <c r="E46" s="108"/>
      <c r="F46" s="107"/>
      <c r="G46" s="108">
        <f t="shared" si="6"/>
        <v>0</v>
      </c>
      <c r="H46" s="99"/>
      <c r="I46" s="107"/>
      <c r="J46" s="107"/>
      <c r="K46" s="107"/>
      <c r="L46" s="108">
        <f t="shared" si="7"/>
        <v>0</v>
      </c>
      <c r="M46" s="61">
        <f t="shared" si="8"/>
        <v>0</v>
      </c>
      <c r="N46" s="106">
        <f t="shared" si="9"/>
        <v>0</v>
      </c>
      <c r="O46" s="108">
        <f t="shared" si="10"/>
        <v>0</v>
      </c>
      <c r="P46" s="62">
        <f t="shared" si="11"/>
        <v>2</v>
      </c>
    </row>
    <row r="47" spans="1:16" ht="15" hidden="1" x14ac:dyDescent="0.2">
      <c r="A47" s="56">
        <v>43</v>
      </c>
      <c r="B47" s="100"/>
      <c r="C47" s="106"/>
      <c r="D47" s="107"/>
      <c r="E47" s="108"/>
      <c r="F47" s="107"/>
      <c r="G47" s="108">
        <f t="shared" si="6"/>
        <v>0</v>
      </c>
      <c r="H47" s="99"/>
      <c r="I47" s="107"/>
      <c r="J47" s="107"/>
      <c r="K47" s="107"/>
      <c r="L47" s="108">
        <f t="shared" si="7"/>
        <v>0</v>
      </c>
      <c r="M47" s="61">
        <f t="shared" si="8"/>
        <v>0</v>
      </c>
      <c r="N47" s="106">
        <f t="shared" si="9"/>
        <v>0</v>
      </c>
      <c r="O47" s="108">
        <f t="shared" si="10"/>
        <v>0</v>
      </c>
      <c r="P47" s="62">
        <f t="shared" si="11"/>
        <v>2</v>
      </c>
    </row>
    <row r="48" spans="1:16" ht="15" hidden="1" x14ac:dyDescent="0.2">
      <c r="A48" s="56">
        <v>44</v>
      </c>
      <c r="B48" s="100"/>
      <c r="C48" s="106"/>
      <c r="D48" s="107"/>
      <c r="E48" s="108"/>
      <c r="F48" s="107"/>
      <c r="G48" s="108">
        <f t="shared" si="6"/>
        <v>0</v>
      </c>
      <c r="H48" s="99"/>
      <c r="I48" s="107"/>
      <c r="J48" s="107"/>
      <c r="K48" s="107"/>
      <c r="L48" s="108">
        <f t="shared" si="7"/>
        <v>0</v>
      </c>
      <c r="M48" s="61">
        <f t="shared" si="8"/>
        <v>0</v>
      </c>
      <c r="N48" s="106">
        <f t="shared" si="9"/>
        <v>0</v>
      </c>
      <c r="O48" s="108">
        <f t="shared" si="10"/>
        <v>0</v>
      </c>
      <c r="P48" s="62">
        <f t="shared" si="11"/>
        <v>2</v>
      </c>
    </row>
    <row r="49" spans="1:17" ht="15" hidden="1" x14ac:dyDescent="0.2">
      <c r="A49" s="56">
        <v>45</v>
      </c>
      <c r="B49" s="100"/>
      <c r="C49" s="106"/>
      <c r="D49" s="107"/>
      <c r="E49" s="108"/>
      <c r="F49" s="107"/>
      <c r="G49" s="108">
        <f t="shared" si="6"/>
        <v>0</v>
      </c>
      <c r="H49" s="99"/>
      <c r="I49" s="107"/>
      <c r="J49" s="107"/>
      <c r="K49" s="107"/>
      <c r="L49" s="108">
        <f t="shared" si="7"/>
        <v>0</v>
      </c>
      <c r="M49" s="61">
        <f t="shared" si="8"/>
        <v>0</v>
      </c>
      <c r="N49" s="106">
        <f t="shared" si="9"/>
        <v>0</v>
      </c>
      <c r="O49" s="108">
        <f t="shared" si="10"/>
        <v>0</v>
      </c>
      <c r="P49" s="62">
        <f t="shared" si="11"/>
        <v>2</v>
      </c>
    </row>
    <row r="50" spans="1:17" ht="15" hidden="1" x14ac:dyDescent="0.2">
      <c r="A50" s="56">
        <v>46</v>
      </c>
      <c r="B50" s="100"/>
      <c r="C50" s="106"/>
      <c r="D50" s="107"/>
      <c r="E50" s="108"/>
      <c r="F50" s="107"/>
      <c r="G50" s="108">
        <f t="shared" si="6"/>
        <v>0</v>
      </c>
      <c r="H50" s="99"/>
      <c r="I50" s="107"/>
      <c r="J50" s="107"/>
      <c r="K50" s="107"/>
      <c r="L50" s="108">
        <f t="shared" si="7"/>
        <v>0</v>
      </c>
      <c r="M50" s="61">
        <f t="shared" si="8"/>
        <v>0</v>
      </c>
      <c r="N50" s="106">
        <f t="shared" si="9"/>
        <v>0</v>
      </c>
      <c r="O50" s="108">
        <f t="shared" si="10"/>
        <v>0</v>
      </c>
      <c r="P50" s="62">
        <f t="shared" si="11"/>
        <v>2</v>
      </c>
    </row>
    <row r="51" spans="1:17" ht="15" hidden="1" x14ac:dyDescent="0.2">
      <c r="A51" s="56">
        <v>47</v>
      </c>
      <c r="B51" s="100"/>
      <c r="C51" s="106"/>
      <c r="D51" s="107"/>
      <c r="E51" s="108"/>
      <c r="F51" s="107"/>
      <c r="G51" s="108">
        <f t="shared" si="6"/>
        <v>0</v>
      </c>
      <c r="H51" s="99"/>
      <c r="I51" s="107"/>
      <c r="J51" s="107"/>
      <c r="K51" s="107"/>
      <c r="L51" s="108">
        <f t="shared" si="7"/>
        <v>0</v>
      </c>
      <c r="M51" s="61">
        <f t="shared" si="8"/>
        <v>0</v>
      </c>
      <c r="N51" s="106">
        <f t="shared" si="9"/>
        <v>0</v>
      </c>
      <c r="O51" s="108">
        <f t="shared" si="10"/>
        <v>0</v>
      </c>
      <c r="P51" s="62">
        <f t="shared" si="11"/>
        <v>2</v>
      </c>
    </row>
    <row r="52" spans="1:17" ht="15" hidden="1" x14ac:dyDescent="0.2">
      <c r="A52" s="56">
        <v>48</v>
      </c>
      <c r="B52" s="100"/>
      <c r="C52" s="106"/>
      <c r="D52" s="107"/>
      <c r="E52" s="108"/>
      <c r="F52" s="107"/>
      <c r="G52" s="108">
        <f t="shared" si="6"/>
        <v>0</v>
      </c>
      <c r="H52" s="99"/>
      <c r="I52" s="107"/>
      <c r="J52" s="107"/>
      <c r="K52" s="107"/>
      <c r="L52" s="108">
        <f t="shared" si="7"/>
        <v>0</v>
      </c>
      <c r="M52" s="61">
        <f t="shared" si="8"/>
        <v>0</v>
      </c>
      <c r="N52" s="106">
        <f t="shared" si="9"/>
        <v>0</v>
      </c>
      <c r="O52" s="108">
        <f t="shared" si="10"/>
        <v>0</v>
      </c>
      <c r="P52" s="62">
        <f t="shared" si="11"/>
        <v>2</v>
      </c>
    </row>
    <row r="53" spans="1:17" ht="15" hidden="1" x14ac:dyDescent="0.2">
      <c r="A53" s="56">
        <v>49</v>
      </c>
      <c r="B53" s="100"/>
      <c r="C53" s="106"/>
      <c r="D53" s="107"/>
      <c r="E53" s="108"/>
      <c r="F53" s="107"/>
      <c r="G53" s="108">
        <f t="shared" si="6"/>
        <v>0</v>
      </c>
      <c r="H53" s="99"/>
      <c r="I53" s="107"/>
      <c r="J53" s="107"/>
      <c r="K53" s="107"/>
      <c r="L53" s="108">
        <f t="shared" si="7"/>
        <v>0</v>
      </c>
      <c r="M53" s="61">
        <f t="shared" si="8"/>
        <v>0</v>
      </c>
      <c r="N53" s="106">
        <f t="shared" si="9"/>
        <v>0</v>
      </c>
      <c r="O53" s="108">
        <f t="shared" si="10"/>
        <v>0</v>
      </c>
      <c r="P53" s="62">
        <f t="shared" si="11"/>
        <v>2</v>
      </c>
    </row>
    <row r="54" spans="1:17" ht="15" hidden="1" x14ac:dyDescent="0.2">
      <c r="A54" s="56">
        <v>50</v>
      </c>
      <c r="B54" s="100"/>
      <c r="C54" s="106"/>
      <c r="D54" s="107"/>
      <c r="E54" s="108"/>
      <c r="F54" s="107"/>
      <c r="G54" s="108">
        <f t="shared" si="6"/>
        <v>0</v>
      </c>
      <c r="H54" s="99"/>
      <c r="I54" s="107"/>
      <c r="J54" s="107"/>
      <c r="K54" s="107"/>
      <c r="L54" s="108">
        <f t="shared" si="7"/>
        <v>0</v>
      </c>
      <c r="M54" s="61">
        <f t="shared" si="8"/>
        <v>0</v>
      </c>
      <c r="N54" s="106">
        <f t="shared" si="9"/>
        <v>0</v>
      </c>
      <c r="O54" s="108">
        <f t="shared" si="10"/>
        <v>0</v>
      </c>
      <c r="P54" s="62">
        <f t="shared" si="11"/>
        <v>2</v>
      </c>
    </row>
    <row r="55" spans="1:17" ht="15" hidden="1" x14ac:dyDescent="0.2">
      <c r="A55" s="56">
        <v>51</v>
      </c>
      <c r="B55" s="100"/>
      <c r="C55" s="106"/>
      <c r="D55" s="107"/>
      <c r="E55" s="108"/>
      <c r="F55" s="107"/>
      <c r="G55" s="108">
        <f t="shared" si="6"/>
        <v>0</v>
      </c>
      <c r="H55" s="99"/>
      <c r="I55" s="107"/>
      <c r="J55" s="107"/>
      <c r="K55" s="107"/>
      <c r="L55" s="108">
        <f t="shared" si="7"/>
        <v>0</v>
      </c>
      <c r="M55" s="61">
        <f t="shared" si="8"/>
        <v>0</v>
      </c>
      <c r="N55" s="106">
        <f t="shared" si="9"/>
        <v>0</v>
      </c>
      <c r="O55" s="108">
        <f t="shared" si="10"/>
        <v>0</v>
      </c>
      <c r="P55" s="62">
        <f t="shared" si="11"/>
        <v>2</v>
      </c>
    </row>
    <row r="56" spans="1:17" ht="15" x14ac:dyDescent="0.2">
      <c r="A56" s="56"/>
      <c r="B56" s="100"/>
      <c r="C56" s="52"/>
      <c r="D56" s="51"/>
      <c r="E56" s="50"/>
      <c r="F56" s="51"/>
      <c r="G56" s="50"/>
      <c r="H56" s="52"/>
      <c r="I56" s="51"/>
      <c r="J56" s="51"/>
      <c r="K56" s="51"/>
      <c r="L56" s="50"/>
      <c r="M56" s="50"/>
      <c r="N56" s="52"/>
      <c r="O56" s="50"/>
      <c r="P56" s="51"/>
    </row>
    <row r="57" spans="1:17" s="76" customFormat="1" ht="15.75" x14ac:dyDescent="0.2">
      <c r="A57" s="79"/>
      <c r="B57" s="2"/>
      <c r="C57" s="33"/>
      <c r="D57" s="34"/>
      <c r="E57" s="34"/>
      <c r="F57" s="34"/>
      <c r="G57" s="35"/>
      <c r="H57" s="33"/>
      <c r="I57" s="34"/>
      <c r="J57" s="34"/>
      <c r="K57" s="34"/>
      <c r="L57" s="35"/>
      <c r="M57" s="33"/>
      <c r="N57" s="36"/>
      <c r="O57" s="37"/>
      <c r="P57" s="80"/>
      <c r="Q57" s="77"/>
    </row>
    <row r="58" spans="1:17" s="76" customFormat="1" ht="33.75" customHeight="1" x14ac:dyDescent="0.25">
      <c r="A58" s="159" t="s">
        <v>85</v>
      </c>
      <c r="B58" s="159"/>
      <c r="C58" s="109">
        <f>COUNT(Table2[Number of Fish])</f>
        <v>27</v>
      </c>
      <c r="D58" s="109"/>
      <c r="E58" s="109"/>
      <c r="F58" s="109"/>
      <c r="G58" s="110"/>
      <c r="H58" s="109">
        <f>COUNT(Table2[Number of Fish2])</f>
        <v>27</v>
      </c>
      <c r="I58" s="109"/>
      <c r="J58" s="109"/>
      <c r="K58" s="109"/>
      <c r="L58" s="110"/>
      <c r="M58" s="110"/>
      <c r="N58" s="109">
        <f>COUNT(Table2[FISH COUNT])</f>
        <v>51</v>
      </c>
      <c r="O58" s="143"/>
      <c r="P58" s="64"/>
    </row>
    <row r="59" spans="1:17" s="76" customFormat="1" ht="15.75" x14ac:dyDescent="0.25">
      <c r="A59" s="166" t="s">
        <v>86</v>
      </c>
      <c r="B59" s="166"/>
      <c r="C59" s="109">
        <f>SUM(Table2[Number of Fish])</f>
        <v>58</v>
      </c>
      <c r="D59" s="111"/>
      <c r="E59" s="111"/>
      <c r="F59" s="111"/>
      <c r="G59" s="110"/>
      <c r="H59" s="109">
        <f>SUM(Table2[Number of Fish2])</f>
        <v>70</v>
      </c>
      <c r="I59" s="111"/>
      <c r="J59" s="111"/>
      <c r="K59" s="111"/>
      <c r="L59" s="110"/>
      <c r="M59" s="110"/>
      <c r="N59" s="111">
        <f>SUM(Table2[FISH COUNT])</f>
        <v>128</v>
      </c>
      <c r="O59" s="143"/>
      <c r="P59" s="64"/>
    </row>
    <row r="60" spans="1:17" s="76" customFormat="1" ht="15.75" x14ac:dyDescent="0.25">
      <c r="A60" s="159" t="s">
        <v>87</v>
      </c>
      <c r="B60" s="159"/>
      <c r="C60" s="112">
        <f>SUM(E5:E55)</f>
        <v>160.02999999999997</v>
      </c>
      <c r="D60" s="112"/>
      <c r="E60" s="112"/>
      <c r="F60" s="112"/>
      <c r="G60" s="110"/>
      <c r="H60" s="112">
        <f>SUM(J5:J55)</f>
        <v>195.09</v>
      </c>
      <c r="I60" s="112"/>
      <c r="J60" s="112"/>
      <c r="K60" s="112"/>
      <c r="L60" s="110"/>
      <c r="M60" s="110"/>
      <c r="N60" s="112">
        <f>SUM(O5:O34)</f>
        <v>354.87</v>
      </c>
      <c r="O60" s="143"/>
      <c r="P60" s="64"/>
    </row>
    <row r="61" spans="1:17" ht="15.75" x14ac:dyDescent="0.25">
      <c r="A61" s="159" t="s">
        <v>88</v>
      </c>
      <c r="B61" s="159"/>
      <c r="C61" s="112">
        <f>C60/C59</f>
        <v>2.7591379310344823</v>
      </c>
      <c r="D61" s="112"/>
      <c r="E61" s="112"/>
      <c r="F61" s="112"/>
      <c r="G61" s="113"/>
      <c r="H61" s="112">
        <f>H60/H59</f>
        <v>2.7869999999999999</v>
      </c>
      <c r="I61" s="112"/>
      <c r="J61" s="112"/>
      <c r="K61" s="112"/>
      <c r="L61" s="113"/>
      <c r="M61" s="113"/>
      <c r="N61" s="112">
        <f>N60/N59</f>
        <v>2.772421875</v>
      </c>
      <c r="O61" s="143"/>
      <c r="P61" s="64"/>
    </row>
    <row r="62" spans="1:17" ht="15.75" x14ac:dyDescent="0.25">
      <c r="A62" s="159" t="s">
        <v>89</v>
      </c>
      <c r="B62" s="159"/>
      <c r="C62" s="112">
        <f>C59/C58</f>
        <v>2.1481481481481484</v>
      </c>
      <c r="D62" s="112"/>
      <c r="E62" s="112"/>
      <c r="F62" s="112"/>
      <c r="G62" s="113"/>
      <c r="H62" s="112">
        <f>H59/H58</f>
        <v>2.5925925925925926</v>
      </c>
      <c r="I62" s="112"/>
      <c r="J62" s="112"/>
      <c r="K62" s="112"/>
      <c r="L62" s="113"/>
      <c r="M62" s="113"/>
      <c r="N62" s="112">
        <f>N59/N58</f>
        <v>2.5098039215686274</v>
      </c>
      <c r="O62" s="143"/>
      <c r="P62" s="64"/>
    </row>
  </sheetData>
  <mergeCells count="8">
    <mergeCell ref="A61:B61"/>
    <mergeCell ref="A62:B62"/>
    <mergeCell ref="A1:P1"/>
    <mergeCell ref="A2:P2"/>
    <mergeCell ref="M3:O3"/>
    <mergeCell ref="A58:B58"/>
    <mergeCell ref="A59:B59"/>
    <mergeCell ref="A60:B60"/>
  </mergeCells>
  <printOptions horizontalCentered="1" verticalCentered="1"/>
  <pageMargins left="0.25" right="0.25" top="0.25" bottom="0.25" header="0.3" footer="0.3"/>
  <pageSetup scale="42" orientation="landscape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3" tint="0.79998168889431442"/>
    <pageSetUpPr fitToPage="1"/>
  </sheetPr>
  <dimension ref="A1:H43"/>
  <sheetViews>
    <sheetView zoomScale="70" zoomScaleNormal="70" workbookViewId="0">
      <selection activeCell="K20" sqref="K20"/>
    </sheetView>
  </sheetViews>
  <sheetFormatPr defaultColWidth="9.140625" defaultRowHeight="12.75" x14ac:dyDescent="0.2"/>
  <cols>
    <col min="1" max="1" width="9" style="2" customWidth="1"/>
    <col min="2" max="2" width="34.42578125" style="2" customWidth="1"/>
    <col min="3" max="3" width="19.42578125" style="2" customWidth="1"/>
    <col min="4" max="4" width="12" style="2" customWidth="1"/>
    <col min="5" max="5" width="16.5703125" style="2" customWidth="1"/>
    <col min="6" max="6" width="11.28515625" style="2" customWidth="1"/>
    <col min="7" max="7" width="19.5703125" style="2" bestFit="1" customWidth="1"/>
    <col min="8" max="8" width="12.7109375" style="2" customWidth="1"/>
    <col min="9" max="16384" width="9.140625" style="2"/>
  </cols>
  <sheetData>
    <row r="1" spans="1:8" ht="41.25" x14ac:dyDescent="0.8">
      <c r="A1" s="167" t="s">
        <v>237</v>
      </c>
      <c r="B1" s="167"/>
      <c r="C1" s="167"/>
      <c r="D1" s="167"/>
      <c r="E1" s="167"/>
      <c r="F1" s="167"/>
      <c r="G1" s="167"/>
      <c r="H1" s="167"/>
    </row>
    <row r="2" spans="1:8" ht="21" thickBot="1" x14ac:dyDescent="0.35">
      <c r="A2" s="168" t="s">
        <v>244</v>
      </c>
      <c r="B2" s="169"/>
      <c r="C2" s="169"/>
      <c r="D2" s="169"/>
      <c r="E2" s="169"/>
      <c r="F2" s="169"/>
      <c r="G2" s="169"/>
      <c r="H2" s="169"/>
    </row>
    <row r="3" spans="1:8" ht="18.75" thickTop="1" x14ac:dyDescent="0.25">
      <c r="A3" s="40"/>
      <c r="B3" s="41"/>
      <c r="C3" s="170"/>
      <c r="D3" s="171"/>
      <c r="E3" s="171"/>
      <c r="F3" s="171"/>
      <c r="G3" s="172"/>
      <c r="H3" s="42" t="s">
        <v>90</v>
      </c>
    </row>
    <row r="4" spans="1:8" s="98" customFormat="1" ht="13.5" thickBot="1" x14ac:dyDescent="0.25">
      <c r="A4" s="43"/>
      <c r="B4" s="94" t="s">
        <v>22</v>
      </c>
      <c r="C4" s="95" t="s">
        <v>204</v>
      </c>
      <c r="D4" s="96" t="s">
        <v>174</v>
      </c>
      <c r="E4" s="96" t="s">
        <v>205</v>
      </c>
      <c r="F4" s="96" t="s">
        <v>172</v>
      </c>
      <c r="G4" s="94" t="s">
        <v>206</v>
      </c>
      <c r="H4" s="97" t="s">
        <v>25</v>
      </c>
    </row>
    <row r="5" spans="1:8" s="3" customFormat="1" ht="14.1" customHeight="1" thickTop="1" x14ac:dyDescent="0.2">
      <c r="A5" s="79">
        <v>1</v>
      </c>
      <c r="B5" s="28" t="s">
        <v>100</v>
      </c>
      <c r="C5" s="79">
        <v>5</v>
      </c>
      <c r="D5" s="33">
        <v>3.89</v>
      </c>
      <c r="E5" s="33">
        <v>16.21</v>
      </c>
      <c r="F5" s="33"/>
      <c r="G5" s="33">
        <f t="shared" ref="G5:G35" si="0">SUM(E5-F5)</f>
        <v>16.21</v>
      </c>
      <c r="H5" s="79">
        <f t="shared" ref="H5:H37" si="1">IF(A5&lt;31,33-A5,2)</f>
        <v>32</v>
      </c>
    </row>
    <row r="6" spans="1:8" s="3" customFormat="1" ht="14.1" customHeight="1" x14ac:dyDescent="0.2">
      <c r="A6" s="79">
        <v>2</v>
      </c>
      <c r="B6" s="28" t="s">
        <v>35</v>
      </c>
      <c r="C6" s="79">
        <v>5</v>
      </c>
      <c r="D6" s="33">
        <v>4.01</v>
      </c>
      <c r="E6" s="33">
        <v>15.78</v>
      </c>
      <c r="F6" s="33">
        <v>0.25</v>
      </c>
      <c r="G6" s="33">
        <f t="shared" si="0"/>
        <v>15.53</v>
      </c>
      <c r="H6" s="79">
        <f t="shared" si="1"/>
        <v>31</v>
      </c>
    </row>
    <row r="7" spans="1:8" s="3" customFormat="1" ht="14.1" customHeight="1" x14ac:dyDescent="0.2">
      <c r="A7" s="79">
        <v>3</v>
      </c>
      <c r="B7" s="28" t="s">
        <v>170</v>
      </c>
      <c r="C7" s="79">
        <v>5</v>
      </c>
      <c r="D7" s="33">
        <v>6.56</v>
      </c>
      <c r="E7" s="33">
        <v>14.95</v>
      </c>
      <c r="F7" s="33"/>
      <c r="G7" s="33">
        <f t="shared" si="0"/>
        <v>14.95</v>
      </c>
      <c r="H7" s="79">
        <f t="shared" si="1"/>
        <v>30</v>
      </c>
    </row>
    <row r="8" spans="1:8" s="3" customFormat="1" ht="14.1" customHeight="1" x14ac:dyDescent="0.2">
      <c r="A8" s="79">
        <v>4</v>
      </c>
      <c r="B8" s="28" t="s">
        <v>84</v>
      </c>
      <c r="C8" s="79">
        <v>5</v>
      </c>
      <c r="D8" s="33">
        <v>3.3</v>
      </c>
      <c r="E8" s="33">
        <v>13.74</v>
      </c>
      <c r="F8" s="33">
        <v>0.25</v>
      </c>
      <c r="G8" s="33">
        <f t="shared" si="0"/>
        <v>13.49</v>
      </c>
      <c r="H8" s="79">
        <f t="shared" si="1"/>
        <v>29</v>
      </c>
    </row>
    <row r="9" spans="1:8" ht="14.1" customHeight="1" x14ac:dyDescent="0.2">
      <c r="A9" s="79">
        <v>5</v>
      </c>
      <c r="B9" s="28" t="s">
        <v>223</v>
      </c>
      <c r="C9" s="79">
        <v>5</v>
      </c>
      <c r="D9" s="33">
        <v>3.28</v>
      </c>
      <c r="E9" s="33">
        <v>12.91</v>
      </c>
      <c r="F9" s="33"/>
      <c r="G9" s="33">
        <f t="shared" si="0"/>
        <v>12.91</v>
      </c>
      <c r="H9" s="79">
        <f t="shared" si="1"/>
        <v>28</v>
      </c>
    </row>
    <row r="10" spans="1:8" ht="15.75" x14ac:dyDescent="0.2">
      <c r="A10" s="79">
        <v>6</v>
      </c>
      <c r="B10" s="28" t="s">
        <v>232</v>
      </c>
      <c r="C10" s="79">
        <v>5</v>
      </c>
      <c r="D10" s="33">
        <v>2.54</v>
      </c>
      <c r="E10" s="33">
        <v>12.15</v>
      </c>
      <c r="F10" s="33"/>
      <c r="G10" s="33">
        <f t="shared" si="0"/>
        <v>12.15</v>
      </c>
      <c r="H10" s="79">
        <f t="shared" si="1"/>
        <v>27</v>
      </c>
    </row>
    <row r="11" spans="1:8" ht="15.75" x14ac:dyDescent="0.2">
      <c r="A11" s="79">
        <v>7</v>
      </c>
      <c r="B11" s="28" t="s">
        <v>224</v>
      </c>
      <c r="C11" s="79">
        <v>5</v>
      </c>
      <c r="D11" s="33">
        <v>2.68</v>
      </c>
      <c r="E11" s="33">
        <v>11.91</v>
      </c>
      <c r="F11" s="33"/>
      <c r="G11" s="33">
        <f t="shared" si="0"/>
        <v>11.91</v>
      </c>
      <c r="H11" s="79">
        <f t="shared" si="1"/>
        <v>26</v>
      </c>
    </row>
    <row r="12" spans="1:8" ht="15.75" x14ac:dyDescent="0.2">
      <c r="A12" s="79">
        <v>8</v>
      </c>
      <c r="B12" s="28" t="s">
        <v>54</v>
      </c>
      <c r="C12" s="79">
        <v>5</v>
      </c>
      <c r="D12" s="33">
        <v>2.75</v>
      </c>
      <c r="E12" s="33">
        <v>11.25</v>
      </c>
      <c r="F12" s="33"/>
      <c r="G12" s="33">
        <f t="shared" si="0"/>
        <v>11.25</v>
      </c>
      <c r="H12" s="79">
        <f t="shared" si="1"/>
        <v>25</v>
      </c>
    </row>
    <row r="13" spans="1:8" ht="15.75" x14ac:dyDescent="0.2">
      <c r="A13" s="79">
        <v>9</v>
      </c>
      <c r="B13" s="28" t="s">
        <v>33</v>
      </c>
      <c r="C13" s="79">
        <v>5</v>
      </c>
      <c r="D13" s="33">
        <v>2.44</v>
      </c>
      <c r="E13" s="33">
        <v>11.13</v>
      </c>
      <c r="F13" s="33"/>
      <c r="G13" s="33">
        <f t="shared" si="0"/>
        <v>11.13</v>
      </c>
      <c r="H13" s="79">
        <f t="shared" si="1"/>
        <v>24</v>
      </c>
    </row>
    <row r="14" spans="1:8" ht="15.75" x14ac:dyDescent="0.2">
      <c r="A14" s="79">
        <v>10</v>
      </c>
      <c r="B14" s="28" t="s">
        <v>48</v>
      </c>
      <c r="C14" s="79">
        <v>5</v>
      </c>
      <c r="D14" s="33">
        <v>3.52</v>
      </c>
      <c r="E14" s="33">
        <v>11.01</v>
      </c>
      <c r="F14" s="33">
        <v>0.25</v>
      </c>
      <c r="G14" s="33">
        <f t="shared" si="0"/>
        <v>10.76</v>
      </c>
      <c r="H14" s="79">
        <f t="shared" si="1"/>
        <v>23</v>
      </c>
    </row>
    <row r="15" spans="1:8" ht="15.75" x14ac:dyDescent="0.2">
      <c r="A15" s="79">
        <v>11</v>
      </c>
      <c r="B15" s="28" t="s">
        <v>163</v>
      </c>
      <c r="C15" s="79">
        <v>5</v>
      </c>
      <c r="D15" s="33">
        <v>3.07</v>
      </c>
      <c r="E15" s="33">
        <v>10.72</v>
      </c>
      <c r="F15" s="33"/>
      <c r="G15" s="33">
        <f t="shared" si="0"/>
        <v>10.72</v>
      </c>
      <c r="H15" s="79">
        <f t="shared" si="1"/>
        <v>22</v>
      </c>
    </row>
    <row r="16" spans="1:8" ht="15.75" x14ac:dyDescent="0.2">
      <c r="A16" s="79">
        <v>12</v>
      </c>
      <c r="B16" s="28" t="s">
        <v>99</v>
      </c>
      <c r="C16" s="79">
        <v>5</v>
      </c>
      <c r="D16" s="33">
        <v>2.98</v>
      </c>
      <c r="E16" s="33">
        <v>10.54</v>
      </c>
      <c r="F16" s="33"/>
      <c r="G16" s="33">
        <f t="shared" si="0"/>
        <v>10.54</v>
      </c>
      <c r="H16" s="79">
        <f t="shared" si="1"/>
        <v>21</v>
      </c>
    </row>
    <row r="17" spans="1:8" ht="15.75" x14ac:dyDescent="0.2">
      <c r="A17" s="79">
        <v>13</v>
      </c>
      <c r="B17" s="28" t="s">
        <v>59</v>
      </c>
      <c r="C17" s="79">
        <v>5</v>
      </c>
      <c r="D17" s="33">
        <v>2.46</v>
      </c>
      <c r="E17" s="33">
        <v>10.79</v>
      </c>
      <c r="F17" s="33">
        <v>0.25</v>
      </c>
      <c r="G17" s="33">
        <f t="shared" si="0"/>
        <v>10.54</v>
      </c>
      <c r="H17" s="79">
        <f t="shared" si="1"/>
        <v>20</v>
      </c>
    </row>
    <row r="18" spans="1:8" ht="15.75" x14ac:dyDescent="0.2">
      <c r="A18" s="79">
        <v>14</v>
      </c>
      <c r="B18" s="28" t="s">
        <v>168</v>
      </c>
      <c r="C18" s="79">
        <v>5</v>
      </c>
      <c r="D18" s="33">
        <v>2.85</v>
      </c>
      <c r="E18" s="33">
        <v>10.46</v>
      </c>
      <c r="F18" s="33"/>
      <c r="G18" s="33">
        <f t="shared" si="0"/>
        <v>10.46</v>
      </c>
      <c r="H18" s="79">
        <f t="shared" si="1"/>
        <v>19</v>
      </c>
    </row>
    <row r="19" spans="1:8" ht="15.75" x14ac:dyDescent="0.2">
      <c r="A19" s="79">
        <v>15</v>
      </c>
      <c r="B19" s="28" t="s">
        <v>229</v>
      </c>
      <c r="C19" s="79">
        <v>5</v>
      </c>
      <c r="D19" s="33">
        <v>3.56</v>
      </c>
      <c r="E19" s="33">
        <v>10.24</v>
      </c>
      <c r="F19" s="33"/>
      <c r="G19" s="33">
        <f t="shared" si="0"/>
        <v>10.24</v>
      </c>
      <c r="H19" s="79">
        <f t="shared" si="1"/>
        <v>18</v>
      </c>
    </row>
    <row r="20" spans="1:8" ht="15.75" x14ac:dyDescent="0.2">
      <c r="A20" s="79">
        <v>16</v>
      </c>
      <c r="B20" s="28" t="s">
        <v>53</v>
      </c>
      <c r="C20" s="79">
        <v>5</v>
      </c>
      <c r="D20" s="33">
        <v>3.85</v>
      </c>
      <c r="E20" s="33">
        <v>10.210000000000001</v>
      </c>
      <c r="F20" s="33"/>
      <c r="G20" s="33">
        <f t="shared" si="0"/>
        <v>10.210000000000001</v>
      </c>
      <c r="H20" s="79">
        <f t="shared" si="1"/>
        <v>17</v>
      </c>
    </row>
    <row r="21" spans="1:8" ht="15.75" x14ac:dyDescent="0.2">
      <c r="A21" s="79">
        <v>17</v>
      </c>
      <c r="B21" s="28" t="s">
        <v>97</v>
      </c>
      <c r="C21" s="79">
        <v>5</v>
      </c>
      <c r="D21" s="33">
        <v>2.7</v>
      </c>
      <c r="E21" s="33">
        <v>10.01</v>
      </c>
      <c r="F21" s="33"/>
      <c r="G21" s="33">
        <f t="shared" si="0"/>
        <v>10.01</v>
      </c>
      <c r="H21" s="79">
        <f t="shared" si="1"/>
        <v>16</v>
      </c>
    </row>
    <row r="22" spans="1:8" ht="15.75" x14ac:dyDescent="0.2">
      <c r="A22" s="79">
        <v>18</v>
      </c>
      <c r="B22" s="28" t="s">
        <v>31</v>
      </c>
      <c r="C22" s="79">
        <v>5</v>
      </c>
      <c r="D22" s="33">
        <v>1.94</v>
      </c>
      <c r="E22" s="33">
        <v>9.98</v>
      </c>
      <c r="F22" s="33"/>
      <c r="G22" s="33">
        <f t="shared" si="0"/>
        <v>9.98</v>
      </c>
      <c r="H22" s="79">
        <f t="shared" si="1"/>
        <v>15</v>
      </c>
    </row>
    <row r="23" spans="1:8" ht="15.75" x14ac:dyDescent="0.2">
      <c r="A23" s="79">
        <v>19</v>
      </c>
      <c r="B23" s="28" t="s">
        <v>112</v>
      </c>
      <c r="C23" s="79">
        <v>5</v>
      </c>
      <c r="D23" s="33">
        <v>2.5299999999999998</v>
      </c>
      <c r="E23" s="33">
        <v>9.73</v>
      </c>
      <c r="F23" s="33"/>
      <c r="G23" s="33">
        <f t="shared" si="0"/>
        <v>9.73</v>
      </c>
      <c r="H23" s="79">
        <f t="shared" si="1"/>
        <v>14</v>
      </c>
    </row>
    <row r="24" spans="1:8" ht="15.75" x14ac:dyDescent="0.2">
      <c r="A24" s="79">
        <v>20</v>
      </c>
      <c r="B24" s="28" t="s">
        <v>233</v>
      </c>
      <c r="C24" s="79">
        <v>5</v>
      </c>
      <c r="D24" s="33">
        <v>2.91</v>
      </c>
      <c r="E24" s="33">
        <v>9.94</v>
      </c>
      <c r="F24" s="33">
        <v>0.25</v>
      </c>
      <c r="G24" s="33">
        <f t="shared" si="0"/>
        <v>9.69</v>
      </c>
      <c r="H24" s="79">
        <f t="shared" si="1"/>
        <v>13</v>
      </c>
    </row>
    <row r="25" spans="1:8" ht="15.75" x14ac:dyDescent="0.2">
      <c r="A25" s="79">
        <v>21</v>
      </c>
      <c r="B25" s="28" t="s">
        <v>75</v>
      </c>
      <c r="C25" s="79">
        <v>5</v>
      </c>
      <c r="D25" s="33">
        <v>2.08</v>
      </c>
      <c r="E25" s="33">
        <v>9.61</v>
      </c>
      <c r="F25" s="33"/>
      <c r="G25" s="33">
        <f t="shared" si="0"/>
        <v>9.61</v>
      </c>
      <c r="H25" s="79">
        <f t="shared" si="1"/>
        <v>12</v>
      </c>
    </row>
    <row r="26" spans="1:8" ht="15.75" x14ac:dyDescent="0.2">
      <c r="A26" s="79">
        <v>22</v>
      </c>
      <c r="B26" s="28" t="s">
        <v>234</v>
      </c>
      <c r="C26" s="79">
        <v>5</v>
      </c>
      <c r="D26" s="33">
        <v>2.09</v>
      </c>
      <c r="E26" s="33">
        <v>10.24</v>
      </c>
      <c r="F26" s="33">
        <v>0.75</v>
      </c>
      <c r="G26" s="33">
        <f t="shared" si="0"/>
        <v>9.49</v>
      </c>
      <c r="H26" s="79">
        <f t="shared" si="1"/>
        <v>11</v>
      </c>
    </row>
    <row r="27" spans="1:8" ht="15.75" x14ac:dyDescent="0.2">
      <c r="A27" s="79">
        <v>23</v>
      </c>
      <c r="B27" s="28" t="s">
        <v>138</v>
      </c>
      <c r="C27" s="79">
        <v>5</v>
      </c>
      <c r="D27" s="33">
        <v>2.2400000000000002</v>
      </c>
      <c r="E27" s="33">
        <v>9.73</v>
      </c>
      <c r="F27" s="33">
        <v>0.25</v>
      </c>
      <c r="G27" s="33">
        <f t="shared" si="0"/>
        <v>9.48</v>
      </c>
      <c r="H27" s="79">
        <f t="shared" si="1"/>
        <v>10</v>
      </c>
    </row>
    <row r="28" spans="1:8" ht="15.75" x14ac:dyDescent="0.2">
      <c r="A28" s="79">
        <v>24</v>
      </c>
      <c r="B28" s="28" t="s">
        <v>81</v>
      </c>
      <c r="C28" s="79">
        <v>5</v>
      </c>
      <c r="D28" s="33">
        <v>1.95</v>
      </c>
      <c r="E28" s="33">
        <v>8.98</v>
      </c>
      <c r="F28" s="33"/>
      <c r="G28" s="33">
        <f t="shared" si="0"/>
        <v>8.98</v>
      </c>
      <c r="H28" s="79">
        <f t="shared" si="1"/>
        <v>9</v>
      </c>
    </row>
    <row r="29" spans="1:8" ht="15.75" x14ac:dyDescent="0.2">
      <c r="A29" s="79">
        <v>25</v>
      </c>
      <c r="B29" s="28" t="s">
        <v>180</v>
      </c>
      <c r="C29" s="79">
        <v>5</v>
      </c>
      <c r="D29" s="33">
        <v>3.11</v>
      </c>
      <c r="E29" s="33">
        <v>9.26</v>
      </c>
      <c r="F29" s="33">
        <v>0.5</v>
      </c>
      <c r="G29" s="33">
        <f t="shared" si="0"/>
        <v>8.76</v>
      </c>
      <c r="H29" s="79">
        <f t="shared" si="1"/>
        <v>8</v>
      </c>
    </row>
    <row r="30" spans="1:8" ht="15.75" x14ac:dyDescent="0.2">
      <c r="A30" s="79">
        <v>26</v>
      </c>
      <c r="B30" s="28" t="s">
        <v>77</v>
      </c>
      <c r="C30" s="79">
        <v>5</v>
      </c>
      <c r="D30" s="33">
        <v>2.06</v>
      </c>
      <c r="E30" s="33">
        <v>8.8800000000000008</v>
      </c>
      <c r="F30" s="33">
        <v>0.25</v>
      </c>
      <c r="G30" s="33">
        <f t="shared" si="0"/>
        <v>8.6300000000000008</v>
      </c>
      <c r="H30" s="79">
        <f t="shared" si="1"/>
        <v>7</v>
      </c>
    </row>
    <row r="31" spans="1:8" ht="15.75" x14ac:dyDescent="0.2">
      <c r="A31" s="79">
        <v>27</v>
      </c>
      <c r="B31" s="28" t="s">
        <v>238</v>
      </c>
      <c r="C31" s="79">
        <v>5</v>
      </c>
      <c r="D31" s="33">
        <v>1.83</v>
      </c>
      <c r="E31" s="33">
        <v>8.48</v>
      </c>
      <c r="F31" s="33"/>
      <c r="G31" s="33">
        <f t="shared" si="0"/>
        <v>8.48</v>
      </c>
      <c r="H31" s="79">
        <f t="shared" si="1"/>
        <v>6</v>
      </c>
    </row>
    <row r="32" spans="1:8" ht="15.75" x14ac:dyDescent="0.2">
      <c r="A32" s="79">
        <v>28</v>
      </c>
      <c r="B32" s="28" t="s">
        <v>221</v>
      </c>
      <c r="C32" s="79">
        <v>3</v>
      </c>
      <c r="D32" s="33">
        <v>4.38</v>
      </c>
      <c r="E32" s="33">
        <v>8.44</v>
      </c>
      <c r="F32" s="33"/>
      <c r="G32" s="33">
        <f t="shared" si="0"/>
        <v>8.44</v>
      </c>
      <c r="H32" s="79">
        <f t="shared" si="1"/>
        <v>5</v>
      </c>
    </row>
    <row r="33" spans="1:8" ht="15.75" x14ac:dyDescent="0.2">
      <c r="A33" s="79">
        <v>29</v>
      </c>
      <c r="B33" s="28" t="s">
        <v>227</v>
      </c>
      <c r="C33" s="79">
        <v>5</v>
      </c>
      <c r="D33" s="33">
        <v>1.82</v>
      </c>
      <c r="E33" s="33">
        <v>8.08</v>
      </c>
      <c r="F33" s="33"/>
      <c r="G33" s="33">
        <f t="shared" si="0"/>
        <v>8.08</v>
      </c>
      <c r="H33" s="79">
        <f t="shared" si="1"/>
        <v>4</v>
      </c>
    </row>
    <row r="34" spans="1:8" ht="15.75" x14ac:dyDescent="0.2">
      <c r="A34" s="79">
        <v>30</v>
      </c>
      <c r="B34" s="28" t="s">
        <v>49</v>
      </c>
      <c r="C34" s="79">
        <v>5</v>
      </c>
      <c r="D34" s="33">
        <v>1.74</v>
      </c>
      <c r="E34" s="33">
        <v>8.15</v>
      </c>
      <c r="F34" s="33">
        <v>0.25</v>
      </c>
      <c r="G34" s="33">
        <f t="shared" si="0"/>
        <v>7.9</v>
      </c>
      <c r="H34" s="79">
        <f t="shared" si="1"/>
        <v>3</v>
      </c>
    </row>
    <row r="35" spans="1:8" ht="15.75" x14ac:dyDescent="0.2">
      <c r="A35" s="79">
        <v>31</v>
      </c>
      <c r="B35" s="28" t="s">
        <v>56</v>
      </c>
      <c r="C35" s="79">
        <v>3</v>
      </c>
      <c r="D35" s="33">
        <v>2.0699999999999998</v>
      </c>
      <c r="E35" s="33">
        <v>5.53</v>
      </c>
      <c r="F35" s="33"/>
      <c r="G35" s="33">
        <f t="shared" si="0"/>
        <v>5.53</v>
      </c>
      <c r="H35" s="79">
        <f t="shared" si="1"/>
        <v>2</v>
      </c>
    </row>
    <row r="36" spans="1:8" ht="15.75" x14ac:dyDescent="0.2">
      <c r="A36" s="79">
        <v>32</v>
      </c>
      <c r="B36" s="28" t="s">
        <v>141</v>
      </c>
      <c r="C36" s="128">
        <v>0</v>
      </c>
      <c r="D36" s="127"/>
      <c r="E36" s="127"/>
      <c r="F36" s="127"/>
      <c r="G36" s="127">
        <f t="shared" ref="G36:G37" si="2">SUM(E36-F36)</f>
        <v>0</v>
      </c>
      <c r="H36" s="79">
        <f t="shared" si="1"/>
        <v>2</v>
      </c>
    </row>
    <row r="37" spans="1:8" ht="15.75" x14ac:dyDescent="0.2">
      <c r="A37" s="79">
        <v>33</v>
      </c>
      <c r="B37" s="127"/>
      <c r="C37" s="128"/>
      <c r="D37" s="127"/>
      <c r="E37" s="127"/>
      <c r="F37" s="127"/>
      <c r="G37" s="127">
        <f t="shared" si="2"/>
        <v>0</v>
      </c>
      <c r="H37" s="79">
        <f t="shared" si="1"/>
        <v>2</v>
      </c>
    </row>
    <row r="38" spans="1:8" ht="15.75" x14ac:dyDescent="0.2">
      <c r="A38" s="79"/>
      <c r="C38" s="33"/>
      <c r="D38" s="34"/>
      <c r="E38" s="34"/>
      <c r="F38" s="34"/>
      <c r="G38" s="35"/>
      <c r="H38" s="80"/>
    </row>
    <row r="39" spans="1:8" ht="15.75" x14ac:dyDescent="0.25">
      <c r="A39" s="63" t="s">
        <v>85</v>
      </c>
      <c r="B39" s="64"/>
      <c r="C39" s="65">
        <f>COUNT(table3[Number of Fish])</f>
        <v>32</v>
      </c>
      <c r="D39" s="65"/>
      <c r="E39" s="65"/>
      <c r="F39" s="65"/>
      <c r="G39" s="63"/>
      <c r="H39" s="64"/>
    </row>
    <row r="40" spans="1:8" ht="15.75" x14ac:dyDescent="0.25">
      <c r="A40" s="63" t="s">
        <v>86</v>
      </c>
      <c r="B40" s="64"/>
      <c r="C40" s="65">
        <f>SUM(table3[Number of Fish])</f>
        <v>151</v>
      </c>
      <c r="D40" s="66"/>
      <c r="E40" s="66"/>
      <c r="F40" s="66"/>
      <c r="G40" s="63"/>
      <c r="H40" s="64"/>
    </row>
    <row r="41" spans="1:8" ht="15.75" x14ac:dyDescent="0.25">
      <c r="A41" s="63" t="s">
        <v>87</v>
      </c>
      <c r="B41" s="64"/>
      <c r="C41" s="67">
        <f>SUM(table3[Total Weight])</f>
        <v>329.03999999999996</v>
      </c>
      <c r="D41" s="67"/>
      <c r="E41" s="67"/>
      <c r="F41" s="67"/>
      <c r="G41" s="63"/>
      <c r="H41" s="64"/>
    </row>
    <row r="42" spans="1:8" ht="15.75" x14ac:dyDescent="0.25">
      <c r="A42" s="63" t="s">
        <v>88</v>
      </c>
      <c r="B42" s="64"/>
      <c r="C42" s="67">
        <f>C41/C40</f>
        <v>2.1790728476821188</v>
      </c>
      <c r="D42" s="67"/>
      <c r="E42" s="67"/>
      <c r="F42" s="67"/>
      <c r="G42" s="68"/>
      <c r="H42" s="64"/>
    </row>
    <row r="43" spans="1:8" ht="15.75" x14ac:dyDescent="0.25">
      <c r="A43" s="63" t="s">
        <v>89</v>
      </c>
      <c r="B43" s="64"/>
      <c r="C43" s="67">
        <f>C40/C39</f>
        <v>4.71875</v>
      </c>
      <c r="D43" s="67"/>
      <c r="E43" s="67"/>
      <c r="F43" s="67"/>
      <c r="G43" s="68"/>
      <c r="H43" s="64"/>
    </row>
  </sheetData>
  <sortState ref="B5:B27">
    <sortCondition ref="B5:B27"/>
  </sortState>
  <mergeCells count="3">
    <mergeCell ref="A1:H1"/>
    <mergeCell ref="A2:H2"/>
    <mergeCell ref="C3:G3"/>
  </mergeCells>
  <phoneticPr fontId="0" type="noConversion"/>
  <conditionalFormatting sqref="B5">
    <cfRule type="duplicateValues" dxfId="19" priority="7"/>
  </conditionalFormatting>
  <conditionalFormatting sqref="B6:B24 B26:B36">
    <cfRule type="duplicateValues" dxfId="18" priority="4"/>
  </conditionalFormatting>
  <conditionalFormatting sqref="B25">
    <cfRule type="duplicateValues" dxfId="17" priority="1"/>
  </conditionalFormatting>
  <printOptions horizontalCentered="1"/>
  <pageMargins left="0.2" right="0.2" top="0.25" bottom="0.25" header="0" footer="0"/>
  <pageSetup scale="83" orientation="landscape" r:id="rId1"/>
  <headerFooter alignWithMargins="0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NameVal!$A:$A</xm:f>
          </x14:formula1>
          <xm:sqref>B5:B37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Q40"/>
  <sheetViews>
    <sheetView zoomScale="70" zoomScaleNormal="70" workbookViewId="0">
      <pane ySplit="1" topLeftCell="A2" activePane="bottomLeft" state="frozen"/>
      <selection sqref="A1:N1"/>
      <selection pane="bottomLeft" activeCell="B32" sqref="B5:B32"/>
    </sheetView>
  </sheetViews>
  <sheetFormatPr defaultColWidth="9.140625" defaultRowHeight="12.75" x14ac:dyDescent="0.2"/>
  <cols>
    <col min="1" max="1" width="3.85546875" style="2" bestFit="1" customWidth="1"/>
    <col min="2" max="2" width="38.5703125" style="75" customWidth="1"/>
    <col min="3" max="3" width="24.42578125" style="2" bestFit="1" customWidth="1"/>
    <col min="4" max="4" width="16.85546875" style="2" bestFit="1" customWidth="1"/>
    <col min="5" max="5" width="21.5703125" style="2" bestFit="1" customWidth="1"/>
    <col min="6" max="6" width="16" style="2" bestFit="1" customWidth="1"/>
    <col min="7" max="7" width="19.5703125" style="2" bestFit="1" customWidth="1"/>
    <col min="8" max="8" width="25.85546875" style="2" bestFit="1" customWidth="1"/>
    <col min="9" max="9" width="18.140625" style="2" bestFit="1" customWidth="1"/>
    <col min="10" max="10" width="22.85546875" style="2" bestFit="1" customWidth="1"/>
    <col min="11" max="11" width="17.28515625" style="2" bestFit="1" customWidth="1"/>
    <col min="12" max="12" width="21" style="2" bestFit="1" customWidth="1"/>
    <col min="13" max="13" width="24" style="2" bestFit="1" customWidth="1"/>
    <col min="14" max="14" width="22" style="2" bestFit="1" customWidth="1"/>
    <col min="15" max="15" width="16.85546875" style="2" bestFit="1" customWidth="1"/>
    <col min="16" max="16" width="16.7109375" style="2" bestFit="1" customWidth="1"/>
    <col min="17" max="16384" width="9.140625" style="2"/>
  </cols>
  <sheetData>
    <row r="1" spans="1:16" ht="33" x14ac:dyDescent="0.45">
      <c r="A1" s="160" t="s">
        <v>242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1"/>
    </row>
    <row r="2" spans="1:16" ht="20.25" x14ac:dyDescent="0.3">
      <c r="A2" s="162" t="s">
        <v>245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1"/>
    </row>
    <row r="3" spans="1:16" ht="18" x14ac:dyDescent="0.2">
      <c r="A3" s="58"/>
      <c r="B3" s="74"/>
      <c r="C3" s="57"/>
      <c r="D3" s="78"/>
      <c r="E3" s="78" t="s">
        <v>217</v>
      </c>
      <c r="F3" s="78"/>
      <c r="G3" s="57"/>
      <c r="H3" s="59"/>
      <c r="I3" s="78"/>
      <c r="J3" s="78" t="s">
        <v>218</v>
      </c>
      <c r="K3" s="78"/>
      <c r="L3" s="78"/>
      <c r="M3" s="164" t="s">
        <v>1</v>
      </c>
      <c r="N3" s="165"/>
      <c r="O3" s="165"/>
      <c r="P3" s="57"/>
    </row>
    <row r="4" spans="1:16" s="3" customFormat="1" x14ac:dyDescent="0.2">
      <c r="A4" s="58"/>
      <c r="B4" s="74" t="s">
        <v>22</v>
      </c>
      <c r="C4" s="57" t="s">
        <v>204</v>
      </c>
      <c r="D4" s="57" t="s">
        <v>174</v>
      </c>
      <c r="E4" s="57" t="s">
        <v>205</v>
      </c>
      <c r="F4" s="57" t="s">
        <v>172</v>
      </c>
      <c r="G4" s="57" t="s">
        <v>206</v>
      </c>
      <c r="H4" s="60" t="s">
        <v>213</v>
      </c>
      <c r="I4" s="57" t="s">
        <v>210</v>
      </c>
      <c r="J4" s="57" t="s">
        <v>211</v>
      </c>
      <c r="K4" s="57" t="s">
        <v>216</v>
      </c>
      <c r="L4" s="57" t="s">
        <v>215</v>
      </c>
      <c r="M4" s="60" t="s">
        <v>214</v>
      </c>
      <c r="N4" s="57" t="s">
        <v>212</v>
      </c>
      <c r="O4" s="57" t="s">
        <v>0</v>
      </c>
      <c r="P4" s="57" t="s">
        <v>25</v>
      </c>
    </row>
    <row r="5" spans="1:16" s="3" customFormat="1" ht="15" x14ac:dyDescent="0.2">
      <c r="A5" s="56">
        <v>1</v>
      </c>
      <c r="B5" s="100" t="s">
        <v>100</v>
      </c>
      <c r="C5" s="52">
        <v>5</v>
      </c>
      <c r="D5" s="51">
        <v>5.36</v>
      </c>
      <c r="E5" s="50">
        <v>21.28</v>
      </c>
      <c r="F5" s="51"/>
      <c r="G5" s="50">
        <f t="shared" ref="G5:G33" si="0">SUM(E5-F5)</f>
        <v>21.28</v>
      </c>
      <c r="H5" s="99">
        <v>5</v>
      </c>
      <c r="I5" s="51">
        <v>3.6</v>
      </c>
      <c r="J5" s="51">
        <v>16.37</v>
      </c>
      <c r="K5" s="51"/>
      <c r="L5" s="50">
        <f t="shared" ref="L5:L33" si="1">SUM(J5-K5)</f>
        <v>16.37</v>
      </c>
      <c r="M5" s="61">
        <f t="shared" ref="M5:M33" si="2">MAX(D5,I5)</f>
        <v>5.36</v>
      </c>
      <c r="N5" s="52">
        <f t="shared" ref="N5:N33" si="3">SUM(C5+H5)</f>
        <v>10</v>
      </c>
      <c r="O5" s="50">
        <f t="shared" ref="O5:O33" si="4">SUM(G5+L5)</f>
        <v>37.650000000000006</v>
      </c>
      <c r="P5" s="62">
        <f t="shared" ref="P5:P30" si="5">IF(A5&lt;31,33-A5,2)</f>
        <v>32</v>
      </c>
    </row>
    <row r="6" spans="1:16" s="3" customFormat="1" ht="14.1" customHeight="1" x14ac:dyDescent="0.2">
      <c r="A6" s="56">
        <v>2</v>
      </c>
      <c r="B6" s="100" t="s">
        <v>138</v>
      </c>
      <c r="C6" s="52">
        <v>5</v>
      </c>
      <c r="D6" s="51">
        <v>3.03</v>
      </c>
      <c r="E6" s="50">
        <v>13.82</v>
      </c>
      <c r="F6" s="51"/>
      <c r="G6" s="50">
        <f t="shared" si="0"/>
        <v>13.82</v>
      </c>
      <c r="H6" s="99">
        <v>5</v>
      </c>
      <c r="I6" s="51">
        <v>4.12</v>
      </c>
      <c r="J6" s="51">
        <v>17.21</v>
      </c>
      <c r="K6" s="51"/>
      <c r="L6" s="50">
        <f t="shared" si="1"/>
        <v>17.21</v>
      </c>
      <c r="M6" s="61">
        <f t="shared" si="2"/>
        <v>4.12</v>
      </c>
      <c r="N6" s="52">
        <f t="shared" si="3"/>
        <v>10</v>
      </c>
      <c r="O6" s="50">
        <f t="shared" si="4"/>
        <v>31.03</v>
      </c>
      <c r="P6" s="62">
        <f t="shared" si="5"/>
        <v>31</v>
      </c>
    </row>
    <row r="7" spans="1:16" s="3" customFormat="1" ht="14.1" customHeight="1" x14ac:dyDescent="0.2">
      <c r="A7" s="56">
        <v>3</v>
      </c>
      <c r="B7" s="100" t="s">
        <v>75</v>
      </c>
      <c r="C7" s="52">
        <v>5</v>
      </c>
      <c r="D7" s="51">
        <v>2.72</v>
      </c>
      <c r="E7" s="50">
        <v>10.050000000000001</v>
      </c>
      <c r="F7" s="51"/>
      <c r="G7" s="50">
        <f t="shared" si="0"/>
        <v>10.050000000000001</v>
      </c>
      <c r="H7" s="99">
        <v>5</v>
      </c>
      <c r="I7" s="51">
        <v>5.35</v>
      </c>
      <c r="J7" s="51">
        <v>20.07</v>
      </c>
      <c r="K7" s="51">
        <v>0.25</v>
      </c>
      <c r="L7" s="50">
        <f t="shared" si="1"/>
        <v>19.82</v>
      </c>
      <c r="M7" s="61">
        <f t="shared" si="2"/>
        <v>5.35</v>
      </c>
      <c r="N7" s="52">
        <f t="shared" si="3"/>
        <v>10</v>
      </c>
      <c r="O7" s="50">
        <f t="shared" si="4"/>
        <v>29.87</v>
      </c>
      <c r="P7" s="62">
        <f t="shared" si="5"/>
        <v>30</v>
      </c>
    </row>
    <row r="8" spans="1:16" s="3" customFormat="1" ht="14.1" customHeight="1" x14ac:dyDescent="0.2">
      <c r="A8" s="56">
        <v>4</v>
      </c>
      <c r="B8" s="100" t="s">
        <v>54</v>
      </c>
      <c r="C8" s="52">
        <v>5</v>
      </c>
      <c r="D8" s="51">
        <v>3.21</v>
      </c>
      <c r="E8" s="50">
        <v>14.14</v>
      </c>
      <c r="F8" s="51"/>
      <c r="G8" s="50">
        <f t="shared" si="0"/>
        <v>14.14</v>
      </c>
      <c r="H8" s="99">
        <v>5</v>
      </c>
      <c r="I8" s="51"/>
      <c r="J8" s="51">
        <v>10.91</v>
      </c>
      <c r="K8" s="51"/>
      <c r="L8" s="50">
        <f t="shared" si="1"/>
        <v>10.91</v>
      </c>
      <c r="M8" s="61">
        <f t="shared" si="2"/>
        <v>3.21</v>
      </c>
      <c r="N8" s="52">
        <f t="shared" si="3"/>
        <v>10</v>
      </c>
      <c r="O8" s="50">
        <f t="shared" si="4"/>
        <v>25.05</v>
      </c>
      <c r="P8" s="62">
        <f t="shared" si="5"/>
        <v>29</v>
      </c>
    </row>
    <row r="9" spans="1:16" s="3" customFormat="1" ht="14.1" customHeight="1" x14ac:dyDescent="0.2">
      <c r="A9" s="56">
        <v>5</v>
      </c>
      <c r="B9" s="100" t="s">
        <v>232</v>
      </c>
      <c r="C9" s="52">
        <v>5</v>
      </c>
      <c r="D9" s="51">
        <v>3.29</v>
      </c>
      <c r="E9" s="50">
        <v>10.44</v>
      </c>
      <c r="F9" s="51"/>
      <c r="G9" s="50">
        <f t="shared" si="0"/>
        <v>10.44</v>
      </c>
      <c r="H9" s="99">
        <v>5</v>
      </c>
      <c r="I9" s="51">
        <v>4.2699999999999996</v>
      </c>
      <c r="J9" s="50">
        <v>14.48</v>
      </c>
      <c r="K9" s="51"/>
      <c r="L9" s="50">
        <f t="shared" si="1"/>
        <v>14.48</v>
      </c>
      <c r="M9" s="61">
        <f t="shared" si="2"/>
        <v>4.2699999999999996</v>
      </c>
      <c r="N9" s="52">
        <f t="shared" si="3"/>
        <v>10</v>
      </c>
      <c r="O9" s="50">
        <f t="shared" si="4"/>
        <v>24.92</v>
      </c>
      <c r="P9" s="62">
        <f t="shared" si="5"/>
        <v>28</v>
      </c>
    </row>
    <row r="10" spans="1:16" ht="14.1" customHeight="1" x14ac:dyDescent="0.2">
      <c r="A10" s="56">
        <v>6</v>
      </c>
      <c r="B10" s="100" t="s">
        <v>168</v>
      </c>
      <c r="C10" s="52">
        <v>5</v>
      </c>
      <c r="D10" s="51">
        <v>4.3099999999999996</v>
      </c>
      <c r="E10" s="50">
        <v>15.63</v>
      </c>
      <c r="F10" s="51">
        <v>0.25</v>
      </c>
      <c r="G10" s="50">
        <f t="shared" si="0"/>
        <v>15.38</v>
      </c>
      <c r="H10" s="99">
        <v>5</v>
      </c>
      <c r="I10" s="51">
        <v>2.69</v>
      </c>
      <c r="J10" s="51">
        <v>9.43</v>
      </c>
      <c r="K10" s="51"/>
      <c r="L10" s="50">
        <f t="shared" si="1"/>
        <v>9.43</v>
      </c>
      <c r="M10" s="61">
        <f t="shared" si="2"/>
        <v>4.3099999999999996</v>
      </c>
      <c r="N10" s="52">
        <f t="shared" si="3"/>
        <v>10</v>
      </c>
      <c r="O10" s="50">
        <f t="shared" si="4"/>
        <v>24.810000000000002</v>
      </c>
      <c r="P10" s="62">
        <f t="shared" si="5"/>
        <v>27</v>
      </c>
    </row>
    <row r="11" spans="1:16" ht="14.1" customHeight="1" x14ac:dyDescent="0.2">
      <c r="A11" s="56">
        <v>7</v>
      </c>
      <c r="B11" s="100" t="s">
        <v>224</v>
      </c>
      <c r="C11" s="52">
        <v>5</v>
      </c>
      <c r="D11" s="51">
        <v>4.3499999999999996</v>
      </c>
      <c r="E11" s="50">
        <v>17.09</v>
      </c>
      <c r="F11" s="51"/>
      <c r="G11" s="50">
        <f t="shared" si="0"/>
        <v>17.09</v>
      </c>
      <c r="H11" s="99">
        <v>4</v>
      </c>
      <c r="I11" s="51"/>
      <c r="J11" s="51">
        <v>7.69</v>
      </c>
      <c r="K11" s="51"/>
      <c r="L11" s="50">
        <f t="shared" si="1"/>
        <v>7.69</v>
      </c>
      <c r="M11" s="61">
        <f t="shared" si="2"/>
        <v>4.3499999999999996</v>
      </c>
      <c r="N11" s="52">
        <f t="shared" si="3"/>
        <v>9</v>
      </c>
      <c r="O11" s="50">
        <f t="shared" si="4"/>
        <v>24.78</v>
      </c>
      <c r="P11" s="62">
        <f t="shared" si="5"/>
        <v>26</v>
      </c>
    </row>
    <row r="12" spans="1:16" ht="14.1" customHeight="1" x14ac:dyDescent="0.2">
      <c r="A12" s="56">
        <v>8</v>
      </c>
      <c r="B12" s="100" t="s">
        <v>98</v>
      </c>
      <c r="C12" s="52">
        <v>5</v>
      </c>
      <c r="D12" s="51">
        <v>3.29</v>
      </c>
      <c r="E12" s="50">
        <v>14.6</v>
      </c>
      <c r="F12" s="51">
        <v>0.25</v>
      </c>
      <c r="G12" s="50">
        <f t="shared" si="0"/>
        <v>14.35</v>
      </c>
      <c r="H12" s="99">
        <v>4</v>
      </c>
      <c r="I12" s="51">
        <v>3.41</v>
      </c>
      <c r="J12" s="51">
        <v>10.31</v>
      </c>
      <c r="K12" s="51"/>
      <c r="L12" s="50">
        <f t="shared" si="1"/>
        <v>10.31</v>
      </c>
      <c r="M12" s="61">
        <f t="shared" si="2"/>
        <v>3.41</v>
      </c>
      <c r="N12" s="52">
        <f t="shared" si="3"/>
        <v>9</v>
      </c>
      <c r="O12" s="50">
        <f t="shared" si="4"/>
        <v>24.66</v>
      </c>
      <c r="P12" s="62">
        <f t="shared" si="5"/>
        <v>25</v>
      </c>
    </row>
    <row r="13" spans="1:16" ht="15" x14ac:dyDescent="0.2">
      <c r="A13" s="56">
        <v>9</v>
      </c>
      <c r="B13" s="100" t="s">
        <v>112</v>
      </c>
      <c r="C13" s="52">
        <v>5</v>
      </c>
      <c r="D13" s="51">
        <v>3.14</v>
      </c>
      <c r="E13" s="50">
        <v>12.13</v>
      </c>
      <c r="F13" s="51"/>
      <c r="G13" s="50">
        <f t="shared" si="0"/>
        <v>12.13</v>
      </c>
      <c r="H13" s="99">
        <v>5</v>
      </c>
      <c r="I13" s="51">
        <v>3.25</v>
      </c>
      <c r="J13" s="51">
        <v>11.96</v>
      </c>
      <c r="K13" s="51"/>
      <c r="L13" s="50">
        <f t="shared" si="1"/>
        <v>11.96</v>
      </c>
      <c r="M13" s="61">
        <f t="shared" si="2"/>
        <v>3.25</v>
      </c>
      <c r="N13" s="52">
        <f t="shared" si="3"/>
        <v>10</v>
      </c>
      <c r="O13" s="50">
        <f t="shared" si="4"/>
        <v>24.090000000000003</v>
      </c>
      <c r="P13" s="62">
        <f t="shared" si="5"/>
        <v>24</v>
      </c>
    </row>
    <row r="14" spans="1:16" ht="15" x14ac:dyDescent="0.2">
      <c r="A14" s="56">
        <v>10</v>
      </c>
      <c r="B14" s="100" t="s">
        <v>84</v>
      </c>
      <c r="C14" s="52">
        <v>4</v>
      </c>
      <c r="D14" s="51">
        <v>4.51</v>
      </c>
      <c r="E14" s="50">
        <v>8.86</v>
      </c>
      <c r="F14" s="51"/>
      <c r="G14" s="50">
        <f t="shared" si="0"/>
        <v>8.86</v>
      </c>
      <c r="H14" s="99">
        <v>5</v>
      </c>
      <c r="I14" s="51"/>
      <c r="J14" s="51">
        <v>15.03</v>
      </c>
      <c r="K14" s="51"/>
      <c r="L14" s="50">
        <f t="shared" si="1"/>
        <v>15.03</v>
      </c>
      <c r="M14" s="61">
        <f t="shared" si="2"/>
        <v>4.51</v>
      </c>
      <c r="N14" s="52">
        <f t="shared" si="3"/>
        <v>9</v>
      </c>
      <c r="O14" s="50">
        <f t="shared" si="4"/>
        <v>23.89</v>
      </c>
      <c r="P14" s="62">
        <f t="shared" si="5"/>
        <v>23</v>
      </c>
    </row>
    <row r="15" spans="1:16" ht="15" x14ac:dyDescent="0.2">
      <c r="A15" s="56">
        <v>11</v>
      </c>
      <c r="B15" s="100" t="s">
        <v>163</v>
      </c>
      <c r="C15" s="52">
        <v>5</v>
      </c>
      <c r="D15" s="51">
        <v>2.83</v>
      </c>
      <c r="E15" s="50">
        <v>13.21</v>
      </c>
      <c r="F15" s="51"/>
      <c r="G15" s="50">
        <f t="shared" si="0"/>
        <v>13.21</v>
      </c>
      <c r="H15" s="99">
        <v>5</v>
      </c>
      <c r="I15" s="51">
        <v>2.48</v>
      </c>
      <c r="J15" s="51">
        <v>10.68</v>
      </c>
      <c r="K15" s="51"/>
      <c r="L15" s="50">
        <f t="shared" si="1"/>
        <v>10.68</v>
      </c>
      <c r="M15" s="61">
        <f t="shared" si="2"/>
        <v>2.83</v>
      </c>
      <c r="N15" s="52">
        <f t="shared" si="3"/>
        <v>10</v>
      </c>
      <c r="O15" s="50">
        <f t="shared" si="4"/>
        <v>23.89</v>
      </c>
      <c r="P15" s="62">
        <f t="shared" si="5"/>
        <v>22</v>
      </c>
    </row>
    <row r="16" spans="1:16" ht="15" x14ac:dyDescent="0.2">
      <c r="A16" s="56">
        <v>12</v>
      </c>
      <c r="B16" s="100" t="s">
        <v>59</v>
      </c>
      <c r="C16" s="52">
        <v>5</v>
      </c>
      <c r="D16" s="51">
        <v>4.84</v>
      </c>
      <c r="E16" s="50">
        <v>16.28</v>
      </c>
      <c r="F16" s="51">
        <v>0.75</v>
      </c>
      <c r="G16" s="50">
        <f t="shared" si="0"/>
        <v>15.530000000000001</v>
      </c>
      <c r="H16" s="99">
        <v>4</v>
      </c>
      <c r="I16" s="51"/>
      <c r="J16" s="50">
        <v>8.15</v>
      </c>
      <c r="K16" s="51"/>
      <c r="L16" s="50">
        <f t="shared" si="1"/>
        <v>8.15</v>
      </c>
      <c r="M16" s="61">
        <f t="shared" si="2"/>
        <v>4.84</v>
      </c>
      <c r="N16" s="52">
        <f t="shared" si="3"/>
        <v>9</v>
      </c>
      <c r="O16" s="50">
        <f t="shared" si="4"/>
        <v>23.68</v>
      </c>
      <c r="P16" s="62">
        <f t="shared" si="5"/>
        <v>21</v>
      </c>
    </row>
    <row r="17" spans="1:16" ht="15" x14ac:dyDescent="0.2">
      <c r="A17" s="56">
        <v>13</v>
      </c>
      <c r="B17" s="100" t="s">
        <v>223</v>
      </c>
      <c r="C17" s="52">
        <v>5</v>
      </c>
      <c r="D17" s="51">
        <v>3.35</v>
      </c>
      <c r="E17" s="50">
        <v>11.93</v>
      </c>
      <c r="F17" s="51"/>
      <c r="G17" s="50">
        <f t="shared" si="0"/>
        <v>11.93</v>
      </c>
      <c r="H17" s="99">
        <v>5</v>
      </c>
      <c r="I17" s="51">
        <v>3.43</v>
      </c>
      <c r="J17" s="50">
        <v>10.62</v>
      </c>
      <c r="K17" s="51"/>
      <c r="L17" s="50">
        <f t="shared" si="1"/>
        <v>10.62</v>
      </c>
      <c r="M17" s="61">
        <f t="shared" si="2"/>
        <v>3.43</v>
      </c>
      <c r="N17" s="52">
        <f t="shared" si="3"/>
        <v>10</v>
      </c>
      <c r="O17" s="50">
        <f t="shared" si="4"/>
        <v>22.549999999999997</v>
      </c>
      <c r="P17" s="62">
        <f t="shared" si="5"/>
        <v>20</v>
      </c>
    </row>
    <row r="18" spans="1:16" ht="15" x14ac:dyDescent="0.2">
      <c r="A18" s="56">
        <v>14</v>
      </c>
      <c r="B18" s="100" t="s">
        <v>31</v>
      </c>
      <c r="C18" s="52">
        <v>5</v>
      </c>
      <c r="D18" s="51">
        <v>3.12</v>
      </c>
      <c r="E18" s="50">
        <v>14.67</v>
      </c>
      <c r="F18" s="51">
        <v>0.25</v>
      </c>
      <c r="G18" s="50">
        <f t="shared" si="0"/>
        <v>14.42</v>
      </c>
      <c r="H18" s="99">
        <v>2</v>
      </c>
      <c r="I18" s="51">
        <v>3.79</v>
      </c>
      <c r="J18" s="51">
        <v>6.72</v>
      </c>
      <c r="K18" s="51"/>
      <c r="L18" s="50">
        <f t="shared" si="1"/>
        <v>6.72</v>
      </c>
      <c r="M18" s="61">
        <f t="shared" si="2"/>
        <v>3.79</v>
      </c>
      <c r="N18" s="52">
        <f t="shared" si="3"/>
        <v>7</v>
      </c>
      <c r="O18" s="50">
        <f t="shared" si="4"/>
        <v>21.14</v>
      </c>
      <c r="P18" s="62">
        <f t="shared" si="5"/>
        <v>19</v>
      </c>
    </row>
    <row r="19" spans="1:16" ht="15" x14ac:dyDescent="0.2">
      <c r="A19" s="56">
        <v>15</v>
      </c>
      <c r="B19" s="100" t="s">
        <v>33</v>
      </c>
      <c r="C19" s="52">
        <v>5</v>
      </c>
      <c r="D19" s="51">
        <v>2.12</v>
      </c>
      <c r="E19" s="50">
        <v>9.84</v>
      </c>
      <c r="F19" s="51"/>
      <c r="G19" s="50">
        <f t="shared" si="0"/>
        <v>9.84</v>
      </c>
      <c r="H19" s="99">
        <v>5</v>
      </c>
      <c r="I19" s="51">
        <v>2.4900000000000002</v>
      </c>
      <c r="J19" s="50">
        <v>11.12</v>
      </c>
      <c r="K19" s="51"/>
      <c r="L19" s="50">
        <f t="shared" si="1"/>
        <v>11.12</v>
      </c>
      <c r="M19" s="61">
        <f t="shared" si="2"/>
        <v>2.4900000000000002</v>
      </c>
      <c r="N19" s="52">
        <f t="shared" si="3"/>
        <v>10</v>
      </c>
      <c r="O19" s="50">
        <f t="shared" si="4"/>
        <v>20.96</v>
      </c>
      <c r="P19" s="62">
        <f t="shared" si="5"/>
        <v>18</v>
      </c>
    </row>
    <row r="20" spans="1:16" ht="15" x14ac:dyDescent="0.2">
      <c r="A20" s="56">
        <v>16</v>
      </c>
      <c r="B20" s="100" t="s">
        <v>265</v>
      </c>
      <c r="C20" s="52">
        <v>5</v>
      </c>
      <c r="D20" s="51">
        <v>2.96</v>
      </c>
      <c r="E20" s="50">
        <v>8.94</v>
      </c>
      <c r="F20" s="51"/>
      <c r="G20" s="50">
        <f t="shared" si="0"/>
        <v>8.94</v>
      </c>
      <c r="H20" s="99">
        <v>4</v>
      </c>
      <c r="I20" s="51"/>
      <c r="J20" s="50">
        <v>7.82</v>
      </c>
      <c r="K20" s="51">
        <v>0.25</v>
      </c>
      <c r="L20" s="50">
        <f t="shared" si="1"/>
        <v>7.57</v>
      </c>
      <c r="M20" s="61">
        <f t="shared" si="2"/>
        <v>2.96</v>
      </c>
      <c r="N20" s="52">
        <f t="shared" si="3"/>
        <v>9</v>
      </c>
      <c r="O20" s="50">
        <f t="shared" si="4"/>
        <v>16.509999999999998</v>
      </c>
      <c r="P20" s="62">
        <f t="shared" si="5"/>
        <v>17</v>
      </c>
    </row>
    <row r="21" spans="1:16" ht="15" x14ac:dyDescent="0.2">
      <c r="A21" s="56">
        <v>17</v>
      </c>
      <c r="B21" s="103" t="s">
        <v>56</v>
      </c>
      <c r="C21" s="52">
        <v>1</v>
      </c>
      <c r="D21" s="51"/>
      <c r="E21" s="50">
        <v>2.4900000000000002</v>
      </c>
      <c r="F21" s="51"/>
      <c r="G21" s="50">
        <f t="shared" si="0"/>
        <v>2.4900000000000002</v>
      </c>
      <c r="H21" s="99">
        <v>5</v>
      </c>
      <c r="I21" s="51">
        <v>3.47</v>
      </c>
      <c r="J21" s="51">
        <v>13.78</v>
      </c>
      <c r="K21" s="51"/>
      <c r="L21" s="50">
        <f t="shared" si="1"/>
        <v>13.78</v>
      </c>
      <c r="M21" s="61">
        <f t="shared" si="2"/>
        <v>3.47</v>
      </c>
      <c r="N21" s="52">
        <f t="shared" si="3"/>
        <v>6</v>
      </c>
      <c r="O21" s="50">
        <f t="shared" si="4"/>
        <v>16.27</v>
      </c>
      <c r="P21" s="62">
        <f t="shared" si="5"/>
        <v>16</v>
      </c>
    </row>
    <row r="22" spans="1:16" ht="15" x14ac:dyDescent="0.2">
      <c r="A22" s="56">
        <v>18</v>
      </c>
      <c r="B22" s="100" t="s">
        <v>229</v>
      </c>
      <c r="C22" s="52">
        <v>5</v>
      </c>
      <c r="D22" s="51">
        <v>2.87</v>
      </c>
      <c r="E22" s="50">
        <v>12.73</v>
      </c>
      <c r="F22" s="51"/>
      <c r="G22" s="50">
        <f t="shared" si="0"/>
        <v>12.73</v>
      </c>
      <c r="H22" s="99">
        <v>2</v>
      </c>
      <c r="I22" s="51">
        <v>2.06</v>
      </c>
      <c r="J22" s="51">
        <v>3.4</v>
      </c>
      <c r="K22" s="51"/>
      <c r="L22" s="50">
        <f t="shared" si="1"/>
        <v>3.4</v>
      </c>
      <c r="M22" s="61">
        <f t="shared" si="2"/>
        <v>2.87</v>
      </c>
      <c r="N22" s="52">
        <f t="shared" si="3"/>
        <v>7</v>
      </c>
      <c r="O22" s="50">
        <f t="shared" si="4"/>
        <v>16.13</v>
      </c>
      <c r="P22" s="62">
        <f t="shared" si="5"/>
        <v>15</v>
      </c>
    </row>
    <row r="23" spans="1:16" ht="15" x14ac:dyDescent="0.2">
      <c r="A23" s="56">
        <v>19</v>
      </c>
      <c r="B23" s="100" t="s">
        <v>67</v>
      </c>
      <c r="C23" s="52">
        <v>5</v>
      </c>
      <c r="D23" s="51"/>
      <c r="E23" s="50">
        <v>10.01</v>
      </c>
      <c r="F23" s="51"/>
      <c r="G23" s="50">
        <f t="shared" si="0"/>
        <v>10.01</v>
      </c>
      <c r="H23" s="99">
        <v>4</v>
      </c>
      <c r="I23" s="51"/>
      <c r="J23" s="51">
        <v>6.06</v>
      </c>
      <c r="K23" s="51"/>
      <c r="L23" s="50">
        <f t="shared" si="1"/>
        <v>6.06</v>
      </c>
      <c r="M23" s="61">
        <f t="shared" si="2"/>
        <v>0</v>
      </c>
      <c r="N23" s="52">
        <f t="shared" si="3"/>
        <v>9</v>
      </c>
      <c r="O23" s="50">
        <f t="shared" si="4"/>
        <v>16.07</v>
      </c>
      <c r="P23" s="62">
        <f t="shared" si="5"/>
        <v>14</v>
      </c>
    </row>
    <row r="24" spans="1:16" ht="15" x14ac:dyDescent="0.2">
      <c r="A24" s="56">
        <v>20</v>
      </c>
      <c r="B24" s="100" t="s">
        <v>266</v>
      </c>
      <c r="C24" s="52">
        <v>3</v>
      </c>
      <c r="D24" s="51">
        <v>2.14</v>
      </c>
      <c r="E24" s="50">
        <v>4.96</v>
      </c>
      <c r="F24" s="51"/>
      <c r="G24" s="50">
        <f t="shared" si="0"/>
        <v>4.96</v>
      </c>
      <c r="H24" s="99">
        <v>5</v>
      </c>
      <c r="I24" s="51">
        <v>2.61</v>
      </c>
      <c r="J24" s="51">
        <v>9.65</v>
      </c>
      <c r="K24" s="51"/>
      <c r="L24" s="50">
        <f t="shared" si="1"/>
        <v>9.65</v>
      </c>
      <c r="M24" s="61">
        <f t="shared" si="2"/>
        <v>2.61</v>
      </c>
      <c r="N24" s="52">
        <f t="shared" si="3"/>
        <v>8</v>
      </c>
      <c r="O24" s="50">
        <f t="shared" si="4"/>
        <v>14.61</v>
      </c>
      <c r="P24" s="62">
        <f t="shared" si="5"/>
        <v>13</v>
      </c>
    </row>
    <row r="25" spans="1:16" ht="15" x14ac:dyDescent="0.2">
      <c r="A25" s="56">
        <v>21</v>
      </c>
      <c r="B25" s="100" t="s">
        <v>180</v>
      </c>
      <c r="C25" s="52">
        <v>5</v>
      </c>
      <c r="D25" s="51">
        <v>2.64</v>
      </c>
      <c r="E25" s="50">
        <v>10.96</v>
      </c>
      <c r="F25" s="51"/>
      <c r="G25" s="50">
        <f t="shared" si="0"/>
        <v>10.96</v>
      </c>
      <c r="H25" s="99">
        <v>1</v>
      </c>
      <c r="I25" s="51"/>
      <c r="J25" s="51">
        <v>2.68</v>
      </c>
      <c r="K25" s="51"/>
      <c r="L25" s="50">
        <f t="shared" si="1"/>
        <v>2.68</v>
      </c>
      <c r="M25" s="61">
        <f t="shared" si="2"/>
        <v>2.64</v>
      </c>
      <c r="N25" s="52">
        <f t="shared" si="3"/>
        <v>6</v>
      </c>
      <c r="O25" s="50">
        <f t="shared" si="4"/>
        <v>13.64</v>
      </c>
      <c r="P25" s="62">
        <f t="shared" si="5"/>
        <v>12</v>
      </c>
    </row>
    <row r="26" spans="1:16" ht="15" x14ac:dyDescent="0.2">
      <c r="A26" s="56">
        <v>22</v>
      </c>
      <c r="B26" s="100" t="s">
        <v>170</v>
      </c>
      <c r="C26" s="52">
        <v>5</v>
      </c>
      <c r="D26" s="51"/>
      <c r="E26" s="50">
        <v>8.51</v>
      </c>
      <c r="F26" s="51">
        <v>0.25</v>
      </c>
      <c r="G26" s="50">
        <f t="shared" si="0"/>
        <v>8.26</v>
      </c>
      <c r="H26" s="99">
        <v>3</v>
      </c>
      <c r="I26" s="51"/>
      <c r="J26" s="50">
        <v>4.55</v>
      </c>
      <c r="K26" s="51"/>
      <c r="L26" s="50">
        <f t="shared" si="1"/>
        <v>4.55</v>
      </c>
      <c r="M26" s="61">
        <f t="shared" si="2"/>
        <v>0</v>
      </c>
      <c r="N26" s="52">
        <f t="shared" si="3"/>
        <v>8</v>
      </c>
      <c r="O26" s="50">
        <f t="shared" si="4"/>
        <v>12.809999999999999</v>
      </c>
      <c r="P26" s="62">
        <f t="shared" si="5"/>
        <v>11</v>
      </c>
    </row>
    <row r="27" spans="1:16" ht="15" x14ac:dyDescent="0.2">
      <c r="A27" s="56">
        <v>23</v>
      </c>
      <c r="B27" s="100" t="s">
        <v>157</v>
      </c>
      <c r="C27" s="52">
        <v>3</v>
      </c>
      <c r="D27" s="51">
        <v>3.19</v>
      </c>
      <c r="E27" s="50">
        <v>6.89</v>
      </c>
      <c r="F27" s="51"/>
      <c r="G27" s="50">
        <f t="shared" si="0"/>
        <v>6.89</v>
      </c>
      <c r="H27" s="99">
        <v>3</v>
      </c>
      <c r="I27" s="51">
        <v>2.5299999999999998</v>
      </c>
      <c r="J27" s="51">
        <v>4.83</v>
      </c>
      <c r="K27" s="51"/>
      <c r="L27" s="50">
        <f t="shared" si="1"/>
        <v>4.83</v>
      </c>
      <c r="M27" s="61">
        <f t="shared" si="2"/>
        <v>3.19</v>
      </c>
      <c r="N27" s="52">
        <f t="shared" si="3"/>
        <v>6</v>
      </c>
      <c r="O27" s="50">
        <f t="shared" si="4"/>
        <v>11.719999999999999</v>
      </c>
      <c r="P27" s="62">
        <f t="shared" si="5"/>
        <v>10</v>
      </c>
    </row>
    <row r="28" spans="1:16" ht="15" x14ac:dyDescent="0.2">
      <c r="A28" s="56">
        <v>24</v>
      </c>
      <c r="B28" s="100" t="s">
        <v>97</v>
      </c>
      <c r="C28" s="52">
        <v>3</v>
      </c>
      <c r="D28" s="51">
        <v>2.68</v>
      </c>
      <c r="E28" s="50">
        <v>7.75</v>
      </c>
      <c r="F28" s="51"/>
      <c r="G28" s="50">
        <f t="shared" si="0"/>
        <v>7.75</v>
      </c>
      <c r="H28" s="99">
        <v>1</v>
      </c>
      <c r="I28" s="51">
        <v>2.96</v>
      </c>
      <c r="J28" s="51">
        <v>2.96</v>
      </c>
      <c r="K28" s="51"/>
      <c r="L28" s="50">
        <f t="shared" si="1"/>
        <v>2.96</v>
      </c>
      <c r="M28" s="61">
        <f t="shared" si="2"/>
        <v>2.96</v>
      </c>
      <c r="N28" s="52">
        <f t="shared" si="3"/>
        <v>4</v>
      </c>
      <c r="O28" s="50">
        <f t="shared" si="4"/>
        <v>10.71</v>
      </c>
      <c r="P28" s="62">
        <f t="shared" si="5"/>
        <v>9</v>
      </c>
    </row>
    <row r="29" spans="1:16" ht="15" x14ac:dyDescent="0.2">
      <c r="A29" s="56">
        <v>25</v>
      </c>
      <c r="B29" s="100" t="s">
        <v>141</v>
      </c>
      <c r="C29" s="52">
        <v>4</v>
      </c>
      <c r="D29" s="51">
        <v>3.29</v>
      </c>
      <c r="E29" s="50">
        <v>10.32</v>
      </c>
      <c r="F29" s="51"/>
      <c r="G29" s="50">
        <f t="shared" si="0"/>
        <v>10.32</v>
      </c>
      <c r="H29" s="99"/>
      <c r="I29" s="51"/>
      <c r="J29" s="51">
        <v>0</v>
      </c>
      <c r="K29" s="51"/>
      <c r="L29" s="50">
        <f t="shared" si="1"/>
        <v>0</v>
      </c>
      <c r="M29" s="61">
        <f t="shared" si="2"/>
        <v>3.29</v>
      </c>
      <c r="N29" s="52">
        <f t="shared" si="3"/>
        <v>4</v>
      </c>
      <c r="O29" s="50">
        <f t="shared" si="4"/>
        <v>10.32</v>
      </c>
      <c r="P29" s="62">
        <f t="shared" si="5"/>
        <v>8</v>
      </c>
    </row>
    <row r="30" spans="1:16" ht="15" x14ac:dyDescent="0.2">
      <c r="A30" s="56">
        <v>26</v>
      </c>
      <c r="B30" s="100" t="s">
        <v>221</v>
      </c>
      <c r="C30" s="52">
        <v>1</v>
      </c>
      <c r="D30" s="51">
        <v>2.64</v>
      </c>
      <c r="E30" s="50">
        <v>2.64</v>
      </c>
      <c r="F30" s="51"/>
      <c r="G30" s="50">
        <f t="shared" si="0"/>
        <v>2.64</v>
      </c>
      <c r="H30" s="99">
        <v>2</v>
      </c>
      <c r="I30" s="51">
        <v>1.55</v>
      </c>
      <c r="J30" s="51">
        <v>2.77</v>
      </c>
      <c r="K30" s="51"/>
      <c r="L30" s="50">
        <f t="shared" si="1"/>
        <v>2.77</v>
      </c>
      <c r="M30" s="61">
        <f t="shared" si="2"/>
        <v>2.64</v>
      </c>
      <c r="N30" s="52">
        <f t="shared" si="3"/>
        <v>3</v>
      </c>
      <c r="O30" s="50">
        <f t="shared" si="4"/>
        <v>5.41</v>
      </c>
      <c r="P30" s="62">
        <f t="shared" si="5"/>
        <v>7</v>
      </c>
    </row>
    <row r="31" spans="1:16" ht="15" x14ac:dyDescent="0.2">
      <c r="A31" s="56">
        <v>27</v>
      </c>
      <c r="B31" s="100" t="s">
        <v>227</v>
      </c>
      <c r="C31" s="52">
        <v>0</v>
      </c>
      <c r="D31" s="51"/>
      <c r="E31" s="50">
        <v>0</v>
      </c>
      <c r="F31" s="51"/>
      <c r="G31" s="50">
        <f t="shared" si="0"/>
        <v>0</v>
      </c>
      <c r="H31" s="99">
        <v>0</v>
      </c>
      <c r="I31" s="51"/>
      <c r="J31" s="50">
        <v>0</v>
      </c>
      <c r="K31" s="51"/>
      <c r="L31" s="50">
        <f t="shared" si="1"/>
        <v>0</v>
      </c>
      <c r="M31" s="61">
        <f t="shared" si="2"/>
        <v>0</v>
      </c>
      <c r="N31" s="52">
        <f t="shared" si="3"/>
        <v>0</v>
      </c>
      <c r="O31" s="50">
        <f t="shared" si="4"/>
        <v>0</v>
      </c>
      <c r="P31" s="62">
        <v>2</v>
      </c>
    </row>
    <row r="32" spans="1:16" ht="15" x14ac:dyDescent="0.2">
      <c r="A32" s="56">
        <v>28</v>
      </c>
      <c r="B32" s="100" t="s">
        <v>81</v>
      </c>
      <c r="C32" s="52">
        <v>0</v>
      </c>
      <c r="D32" s="51"/>
      <c r="E32" s="50">
        <v>0</v>
      </c>
      <c r="F32" s="51"/>
      <c r="G32" s="50">
        <f t="shared" si="0"/>
        <v>0</v>
      </c>
      <c r="H32" s="99">
        <v>0</v>
      </c>
      <c r="I32" s="51"/>
      <c r="J32" s="51">
        <v>0</v>
      </c>
      <c r="K32" s="51"/>
      <c r="L32" s="50">
        <f t="shared" si="1"/>
        <v>0</v>
      </c>
      <c r="M32" s="61">
        <f t="shared" si="2"/>
        <v>0</v>
      </c>
      <c r="N32" s="52">
        <f t="shared" si="3"/>
        <v>0</v>
      </c>
      <c r="O32" s="50">
        <f t="shared" si="4"/>
        <v>0</v>
      </c>
      <c r="P32" s="62">
        <v>2</v>
      </c>
    </row>
    <row r="33" spans="1:17" ht="15" x14ac:dyDescent="0.2">
      <c r="A33" s="56">
        <v>29</v>
      </c>
      <c r="B33" s="101"/>
      <c r="C33" s="52"/>
      <c r="D33" s="51"/>
      <c r="E33" s="51"/>
      <c r="F33" s="50"/>
      <c r="G33" s="50">
        <f t="shared" si="0"/>
        <v>0</v>
      </c>
      <c r="H33" s="99"/>
      <c r="I33" s="52"/>
      <c r="J33" s="50"/>
      <c r="K33" s="51"/>
      <c r="L33" s="50">
        <f t="shared" si="1"/>
        <v>0</v>
      </c>
      <c r="M33" s="61">
        <f t="shared" si="2"/>
        <v>0</v>
      </c>
      <c r="N33" s="52">
        <f t="shared" si="3"/>
        <v>0</v>
      </c>
      <c r="O33" s="50">
        <f t="shared" si="4"/>
        <v>0</v>
      </c>
      <c r="P33" s="62"/>
    </row>
    <row r="34" spans="1:17" ht="15" x14ac:dyDescent="0.2">
      <c r="A34" s="56"/>
      <c r="B34" s="100"/>
      <c r="C34" s="52"/>
      <c r="D34" s="51"/>
      <c r="E34" s="50"/>
      <c r="F34" s="51"/>
      <c r="G34" s="50"/>
      <c r="H34" s="52"/>
      <c r="I34" s="51"/>
      <c r="J34" s="51"/>
      <c r="K34" s="51"/>
      <c r="L34" s="50"/>
      <c r="M34" s="50"/>
      <c r="N34" s="52"/>
      <c r="O34" s="50"/>
      <c r="P34" s="51"/>
    </row>
    <row r="35" spans="1:17" s="76" customFormat="1" ht="15.75" x14ac:dyDescent="0.2">
      <c r="A35" s="79"/>
      <c r="B35" s="2"/>
      <c r="C35" s="33"/>
      <c r="D35" s="34"/>
      <c r="E35" s="34"/>
      <c r="F35" s="34"/>
      <c r="G35" s="35"/>
      <c r="H35" s="33"/>
      <c r="I35" s="34"/>
      <c r="J35" s="34"/>
      <c r="K35" s="34"/>
      <c r="L35" s="35"/>
      <c r="M35" s="33"/>
      <c r="N35" s="36"/>
      <c r="O35" s="37"/>
      <c r="P35" s="80"/>
      <c r="Q35" s="77"/>
    </row>
    <row r="36" spans="1:17" s="76" customFormat="1" ht="33.75" customHeight="1" x14ac:dyDescent="0.25">
      <c r="A36" s="159" t="s">
        <v>85</v>
      </c>
      <c r="B36" s="159"/>
      <c r="C36" s="109">
        <f>COUNT(Table4[Number of Fish])</f>
        <v>28</v>
      </c>
      <c r="D36" s="109"/>
      <c r="E36" s="109"/>
      <c r="F36" s="109"/>
      <c r="G36" s="110"/>
      <c r="H36" s="109">
        <f>COUNT(Table4[Number of Fish2])</f>
        <v>27</v>
      </c>
      <c r="I36" s="109"/>
      <c r="J36" s="109"/>
      <c r="K36" s="109"/>
      <c r="L36" s="110"/>
      <c r="M36" s="110"/>
      <c r="N36" s="109">
        <f>COUNT(Table4[FISH COUNT])</f>
        <v>29</v>
      </c>
      <c r="O36" s="63"/>
      <c r="P36" s="64"/>
    </row>
    <row r="37" spans="1:17" s="76" customFormat="1" ht="15.75" x14ac:dyDescent="0.25">
      <c r="A37" s="166" t="s">
        <v>86</v>
      </c>
      <c r="B37" s="166"/>
      <c r="C37" s="109">
        <f>SUM(Table4[Number of Fish])</f>
        <v>114</v>
      </c>
      <c r="D37" s="111"/>
      <c r="E37" s="111"/>
      <c r="F37" s="111"/>
      <c r="G37" s="110"/>
      <c r="H37" s="109">
        <f>SUM(Table4[Number of Fish2])</f>
        <v>99</v>
      </c>
      <c r="I37" s="111"/>
      <c r="J37" s="111"/>
      <c r="K37" s="111"/>
      <c r="L37" s="110"/>
      <c r="M37" s="110"/>
      <c r="N37" s="111">
        <f>SUM(Table4[FISH COUNT])</f>
        <v>213</v>
      </c>
      <c r="O37" s="63"/>
      <c r="P37" s="64"/>
    </row>
    <row r="38" spans="1:17" s="76" customFormat="1" ht="15.75" x14ac:dyDescent="0.25">
      <c r="A38" s="159" t="s">
        <v>87</v>
      </c>
      <c r="B38" s="159"/>
      <c r="C38" s="112">
        <f>SUM(E5:E33)</f>
        <v>290.17</v>
      </c>
      <c r="D38" s="112"/>
      <c r="E38" s="112"/>
      <c r="F38" s="112"/>
      <c r="G38" s="110"/>
      <c r="H38" s="112">
        <f>SUM(J5:J33)</f>
        <v>239.25000000000009</v>
      </c>
      <c r="I38" s="112"/>
      <c r="J38" s="112"/>
      <c r="K38" s="112"/>
      <c r="L38" s="110"/>
      <c r="M38" s="110"/>
      <c r="N38" s="112">
        <f>SUM(O5:O33)</f>
        <v>527.16999999999985</v>
      </c>
      <c r="O38" s="63"/>
      <c r="P38" s="64"/>
    </row>
    <row r="39" spans="1:17" ht="15.75" x14ac:dyDescent="0.25">
      <c r="A39" s="159" t="s">
        <v>88</v>
      </c>
      <c r="B39" s="159"/>
      <c r="C39" s="112">
        <f>C38/C37</f>
        <v>2.5453508771929827</v>
      </c>
      <c r="D39" s="112"/>
      <c r="E39" s="112"/>
      <c r="F39" s="112"/>
      <c r="G39" s="113"/>
      <c r="H39" s="112">
        <f>H38/H37</f>
        <v>2.4166666666666674</v>
      </c>
      <c r="I39" s="112"/>
      <c r="J39" s="112"/>
      <c r="K39" s="112"/>
      <c r="L39" s="113"/>
      <c r="M39" s="113"/>
      <c r="N39" s="112">
        <f>N38/N37</f>
        <v>2.4749765258215954</v>
      </c>
      <c r="O39" s="63"/>
      <c r="P39" s="64"/>
    </row>
    <row r="40" spans="1:17" ht="15.75" x14ac:dyDescent="0.25">
      <c r="A40" s="159" t="s">
        <v>89</v>
      </c>
      <c r="B40" s="159"/>
      <c r="C40" s="112">
        <f>C37/C36</f>
        <v>4.0714285714285712</v>
      </c>
      <c r="D40" s="112"/>
      <c r="E40" s="112"/>
      <c r="F40" s="112"/>
      <c r="G40" s="113"/>
      <c r="H40" s="112">
        <f>H37/H36</f>
        <v>3.6666666666666665</v>
      </c>
      <c r="I40" s="112"/>
      <c r="J40" s="112"/>
      <c r="K40" s="112"/>
      <c r="L40" s="113"/>
      <c r="M40" s="113"/>
      <c r="N40" s="112">
        <f>N37/N36</f>
        <v>7.3448275862068968</v>
      </c>
      <c r="O40" s="63"/>
      <c r="P40" s="64"/>
    </row>
  </sheetData>
  <mergeCells count="8">
    <mergeCell ref="A39:B39"/>
    <mergeCell ref="A40:B40"/>
    <mergeCell ref="A1:P1"/>
    <mergeCell ref="A2:P2"/>
    <mergeCell ref="M3:O3"/>
    <mergeCell ref="A36:B36"/>
    <mergeCell ref="A37:B37"/>
    <mergeCell ref="A38:B38"/>
  </mergeCells>
  <conditionalFormatting sqref="B21">
    <cfRule type="duplicateValues" dxfId="16" priority="1"/>
  </conditionalFormatting>
  <printOptions horizontalCentered="1" verticalCentered="1"/>
  <pageMargins left="0.25" right="0.25" top="0.25" bottom="0.25" header="0.3" footer="0.3"/>
  <pageSetup scale="83" orientation="landscape" r:id="rId1"/>
  <headerFooter alignWithMargins="0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NameVal!$A:$A</xm:f>
          </x14:formula1>
          <xm:sqref>B21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3" tint="0.79998168889431442"/>
    <pageSetUpPr fitToPage="1"/>
  </sheetPr>
  <dimension ref="A1:H53"/>
  <sheetViews>
    <sheetView zoomScale="70" zoomScaleNormal="70" workbookViewId="0">
      <selection activeCell="G4" sqref="G4"/>
    </sheetView>
  </sheetViews>
  <sheetFormatPr defaultColWidth="9.140625" defaultRowHeight="15.75" x14ac:dyDescent="0.25"/>
  <cols>
    <col min="1" max="1" width="3.85546875" style="5" bestFit="1" customWidth="1"/>
    <col min="2" max="2" width="34" style="141" customWidth="1"/>
    <col min="3" max="3" width="25.42578125" style="1" bestFit="1" customWidth="1"/>
    <col min="4" max="4" width="12.7109375" style="1" customWidth="1"/>
    <col min="5" max="5" width="22" style="1" bestFit="1" customWidth="1"/>
    <col min="6" max="6" width="16" style="1" bestFit="1" customWidth="1"/>
    <col min="7" max="7" width="20" style="1" bestFit="1" customWidth="1"/>
    <col min="8" max="8" width="17" style="1" customWidth="1"/>
    <col min="9" max="16384" width="9.140625" style="2"/>
  </cols>
  <sheetData>
    <row r="1" spans="1:8" ht="31.5" x14ac:dyDescent="0.6">
      <c r="A1" s="174" t="s">
        <v>209</v>
      </c>
      <c r="B1" s="174"/>
      <c r="C1" s="174"/>
      <c r="D1" s="174"/>
      <c r="E1" s="174"/>
      <c r="F1" s="174"/>
      <c r="G1" s="174"/>
      <c r="H1" s="174"/>
    </row>
    <row r="2" spans="1:8" ht="18" customHeight="1" x14ac:dyDescent="0.3">
      <c r="A2" s="173" t="s">
        <v>247</v>
      </c>
      <c r="B2" s="173"/>
      <c r="C2" s="173"/>
      <c r="D2" s="173"/>
      <c r="E2" s="173"/>
      <c r="F2" s="173"/>
      <c r="G2" s="173"/>
      <c r="H2" s="173"/>
    </row>
    <row r="3" spans="1:8" ht="15" customHeight="1" x14ac:dyDescent="0.25">
      <c r="A3" s="69"/>
      <c r="B3" s="71" t="s">
        <v>22</v>
      </c>
      <c r="C3" s="70" t="s">
        <v>204</v>
      </c>
      <c r="D3" s="70" t="s">
        <v>174</v>
      </c>
      <c r="E3" s="70" t="s">
        <v>205</v>
      </c>
      <c r="F3" s="70" t="s">
        <v>172</v>
      </c>
      <c r="G3" s="70" t="s">
        <v>206</v>
      </c>
      <c r="H3" s="71" t="s">
        <v>207</v>
      </c>
    </row>
    <row r="4" spans="1:8" s="3" customFormat="1" x14ac:dyDescent="0.2">
      <c r="A4" s="26">
        <v>1</v>
      </c>
      <c r="B4" s="28" t="s">
        <v>224</v>
      </c>
      <c r="C4" s="26">
        <v>5</v>
      </c>
      <c r="D4" s="27">
        <v>10.27</v>
      </c>
      <c r="E4" s="27">
        <v>23.98</v>
      </c>
      <c r="F4" s="27"/>
      <c r="G4" s="27">
        <f t="shared" ref="G4:G41" si="0">E4-F4</f>
        <v>23.98</v>
      </c>
      <c r="H4" s="79">
        <f t="shared" ref="H4:H41" si="1">IF(A4&lt;31,33-A4,2)</f>
        <v>32</v>
      </c>
    </row>
    <row r="5" spans="1:8" s="3" customFormat="1" ht="15" x14ac:dyDescent="0.2">
      <c r="A5" s="26">
        <v>2</v>
      </c>
      <c r="B5" s="44" t="s">
        <v>221</v>
      </c>
      <c r="C5" s="26">
        <v>5</v>
      </c>
      <c r="D5" s="27">
        <v>5.61</v>
      </c>
      <c r="E5" s="27">
        <v>19.46</v>
      </c>
      <c r="F5" s="27"/>
      <c r="G5" s="27">
        <f t="shared" si="0"/>
        <v>19.46</v>
      </c>
      <c r="H5" s="26">
        <f t="shared" si="1"/>
        <v>31</v>
      </c>
    </row>
    <row r="6" spans="1:8" s="3" customFormat="1" ht="15" x14ac:dyDescent="0.2">
      <c r="A6" s="26">
        <v>3</v>
      </c>
      <c r="B6" s="44" t="s">
        <v>138</v>
      </c>
      <c r="C6" s="26">
        <v>5</v>
      </c>
      <c r="D6" s="27">
        <v>3.17</v>
      </c>
      <c r="E6" s="27">
        <v>16.149999999999999</v>
      </c>
      <c r="F6" s="27"/>
      <c r="G6" s="27">
        <f t="shared" si="0"/>
        <v>16.149999999999999</v>
      </c>
      <c r="H6" s="26">
        <f t="shared" si="1"/>
        <v>30</v>
      </c>
    </row>
    <row r="7" spans="1:8" s="3" customFormat="1" ht="15" x14ac:dyDescent="0.2">
      <c r="A7" s="26">
        <v>4</v>
      </c>
      <c r="B7" s="44" t="s">
        <v>100</v>
      </c>
      <c r="C7" s="26">
        <v>5</v>
      </c>
      <c r="D7" s="27">
        <v>7.32</v>
      </c>
      <c r="E7" s="27">
        <v>15.9</v>
      </c>
      <c r="F7" s="27"/>
      <c r="G7" s="27">
        <f t="shared" si="0"/>
        <v>15.9</v>
      </c>
      <c r="H7" s="26">
        <f t="shared" si="1"/>
        <v>29</v>
      </c>
    </row>
    <row r="8" spans="1:8" s="3" customFormat="1" ht="15" x14ac:dyDescent="0.2">
      <c r="A8" s="26">
        <v>5</v>
      </c>
      <c r="B8" s="44" t="s">
        <v>75</v>
      </c>
      <c r="C8" s="26">
        <v>5</v>
      </c>
      <c r="D8" s="27">
        <v>6.61</v>
      </c>
      <c r="E8" s="27">
        <v>15.62</v>
      </c>
      <c r="F8" s="27"/>
      <c r="G8" s="27">
        <f t="shared" si="0"/>
        <v>15.62</v>
      </c>
      <c r="H8" s="26">
        <f t="shared" si="1"/>
        <v>28</v>
      </c>
    </row>
    <row r="9" spans="1:8" s="3" customFormat="1" ht="15" x14ac:dyDescent="0.2">
      <c r="A9" s="26">
        <v>6</v>
      </c>
      <c r="B9" s="44" t="s">
        <v>48</v>
      </c>
      <c r="C9" s="26">
        <v>5</v>
      </c>
      <c r="D9" s="27">
        <v>5.52</v>
      </c>
      <c r="E9" s="27">
        <v>15.56</v>
      </c>
      <c r="F9" s="27"/>
      <c r="G9" s="27">
        <f t="shared" si="0"/>
        <v>15.56</v>
      </c>
      <c r="H9" s="26">
        <f t="shared" si="1"/>
        <v>27</v>
      </c>
    </row>
    <row r="10" spans="1:8" ht="15" x14ac:dyDescent="0.2">
      <c r="A10" s="26">
        <v>7</v>
      </c>
      <c r="B10" s="44" t="s">
        <v>163</v>
      </c>
      <c r="C10" s="26">
        <v>5</v>
      </c>
      <c r="D10" s="27">
        <v>4.04</v>
      </c>
      <c r="E10" s="27">
        <v>14.88</v>
      </c>
      <c r="F10" s="27"/>
      <c r="G10" s="27">
        <f t="shared" si="0"/>
        <v>14.88</v>
      </c>
      <c r="H10" s="26">
        <f t="shared" si="1"/>
        <v>26</v>
      </c>
    </row>
    <row r="11" spans="1:8" ht="15" x14ac:dyDescent="0.2">
      <c r="A11" s="26">
        <v>8</v>
      </c>
      <c r="B11" s="44" t="s">
        <v>223</v>
      </c>
      <c r="C11" s="26">
        <v>5</v>
      </c>
      <c r="D11" s="27">
        <v>3.56</v>
      </c>
      <c r="E11" s="27">
        <v>13.85</v>
      </c>
      <c r="F11" s="27"/>
      <c r="G11" s="27">
        <f t="shared" si="0"/>
        <v>13.85</v>
      </c>
      <c r="H11" s="26">
        <f t="shared" si="1"/>
        <v>25</v>
      </c>
    </row>
    <row r="12" spans="1:8" ht="15" x14ac:dyDescent="0.2">
      <c r="A12" s="26">
        <v>9</v>
      </c>
      <c r="B12" s="44" t="s">
        <v>168</v>
      </c>
      <c r="C12" s="26">
        <v>5</v>
      </c>
      <c r="D12" s="27">
        <v>3.85</v>
      </c>
      <c r="E12" s="27">
        <v>13.82</v>
      </c>
      <c r="F12" s="27"/>
      <c r="G12" s="27">
        <f t="shared" si="0"/>
        <v>13.82</v>
      </c>
      <c r="H12" s="26">
        <f t="shared" si="1"/>
        <v>24</v>
      </c>
    </row>
    <row r="13" spans="1:8" ht="15" x14ac:dyDescent="0.2">
      <c r="A13" s="26">
        <v>10</v>
      </c>
      <c r="B13" s="44" t="s">
        <v>35</v>
      </c>
      <c r="C13" s="26">
        <v>5</v>
      </c>
      <c r="D13" s="27">
        <v>3.75</v>
      </c>
      <c r="E13" s="27">
        <v>13.38</v>
      </c>
      <c r="F13" s="27"/>
      <c r="G13" s="27">
        <f t="shared" si="0"/>
        <v>13.38</v>
      </c>
      <c r="H13" s="26">
        <f t="shared" si="1"/>
        <v>23</v>
      </c>
    </row>
    <row r="14" spans="1:8" ht="15" x14ac:dyDescent="0.2">
      <c r="A14" s="26">
        <v>11</v>
      </c>
      <c r="B14" s="44" t="s">
        <v>84</v>
      </c>
      <c r="C14" s="26">
        <v>5</v>
      </c>
      <c r="D14" s="27">
        <v>2.56</v>
      </c>
      <c r="E14" s="27">
        <v>12.91</v>
      </c>
      <c r="F14" s="27"/>
      <c r="G14" s="27">
        <f t="shared" si="0"/>
        <v>12.91</v>
      </c>
      <c r="H14" s="26">
        <f t="shared" si="1"/>
        <v>22</v>
      </c>
    </row>
    <row r="15" spans="1:8" ht="15" x14ac:dyDescent="0.2">
      <c r="A15" s="26">
        <v>12</v>
      </c>
      <c r="B15" s="44" t="s">
        <v>54</v>
      </c>
      <c r="C15" s="26">
        <v>5</v>
      </c>
      <c r="D15" s="27">
        <v>2.35</v>
      </c>
      <c r="E15" s="27">
        <v>10.66</v>
      </c>
      <c r="F15" s="27"/>
      <c r="G15" s="27">
        <f t="shared" si="0"/>
        <v>10.66</v>
      </c>
      <c r="H15" s="26">
        <f t="shared" si="1"/>
        <v>21</v>
      </c>
    </row>
    <row r="16" spans="1:8" ht="15" x14ac:dyDescent="0.2">
      <c r="A16" s="26">
        <v>13</v>
      </c>
      <c r="B16" s="44" t="s">
        <v>229</v>
      </c>
      <c r="C16" s="26">
        <v>5</v>
      </c>
      <c r="D16" s="27">
        <v>2.5499999999999998</v>
      </c>
      <c r="E16" s="27">
        <v>10.64</v>
      </c>
      <c r="F16" s="27">
        <v>0.25</v>
      </c>
      <c r="G16" s="27">
        <f t="shared" si="0"/>
        <v>10.39</v>
      </c>
      <c r="H16" s="26">
        <f t="shared" si="1"/>
        <v>20</v>
      </c>
    </row>
    <row r="17" spans="1:8" ht="15" x14ac:dyDescent="0.2">
      <c r="A17" s="26">
        <v>14</v>
      </c>
      <c r="B17" s="44" t="s">
        <v>59</v>
      </c>
      <c r="C17" s="26">
        <v>5</v>
      </c>
      <c r="D17" s="27">
        <v>4.03</v>
      </c>
      <c r="E17" s="27">
        <v>10.47</v>
      </c>
      <c r="F17" s="27">
        <v>0.25</v>
      </c>
      <c r="G17" s="27">
        <f t="shared" si="0"/>
        <v>10.220000000000001</v>
      </c>
      <c r="H17" s="26">
        <f t="shared" si="1"/>
        <v>19</v>
      </c>
    </row>
    <row r="18" spans="1:8" ht="15" x14ac:dyDescent="0.2">
      <c r="A18" s="26">
        <v>15</v>
      </c>
      <c r="B18" s="44" t="s">
        <v>266</v>
      </c>
      <c r="C18" s="26">
        <v>4</v>
      </c>
      <c r="D18" s="27">
        <v>3.84</v>
      </c>
      <c r="E18" s="27">
        <v>10.050000000000001</v>
      </c>
      <c r="F18" s="27"/>
      <c r="G18" s="27">
        <f t="shared" si="0"/>
        <v>10.050000000000001</v>
      </c>
      <c r="H18" s="26">
        <f t="shared" si="1"/>
        <v>18</v>
      </c>
    </row>
    <row r="19" spans="1:8" ht="15" x14ac:dyDescent="0.2">
      <c r="A19" s="26">
        <v>16</v>
      </c>
      <c r="B19" s="146" t="s">
        <v>238</v>
      </c>
      <c r="C19" s="147">
        <v>5</v>
      </c>
      <c r="D19" s="148">
        <v>1.99</v>
      </c>
      <c r="E19" s="148">
        <v>9.83</v>
      </c>
      <c r="F19" s="148"/>
      <c r="G19" s="148">
        <f t="shared" si="0"/>
        <v>9.83</v>
      </c>
      <c r="H19" s="147">
        <f t="shared" si="1"/>
        <v>17</v>
      </c>
    </row>
    <row r="20" spans="1:8" ht="15" x14ac:dyDescent="0.2">
      <c r="A20" s="26">
        <v>17</v>
      </c>
      <c r="B20" s="146" t="s">
        <v>267</v>
      </c>
      <c r="C20" s="147">
        <v>4</v>
      </c>
      <c r="D20" s="148">
        <v>3.45</v>
      </c>
      <c r="E20" s="148">
        <v>9.74</v>
      </c>
      <c r="F20" s="148"/>
      <c r="G20" s="148">
        <f t="shared" si="0"/>
        <v>9.74</v>
      </c>
      <c r="H20" s="147">
        <f t="shared" si="1"/>
        <v>16</v>
      </c>
    </row>
    <row r="21" spans="1:8" ht="15" x14ac:dyDescent="0.2">
      <c r="A21" s="26">
        <v>18</v>
      </c>
      <c r="B21" s="146" t="s">
        <v>170</v>
      </c>
      <c r="C21" s="147">
        <v>5</v>
      </c>
      <c r="D21" s="148">
        <v>2.76</v>
      </c>
      <c r="E21" s="148">
        <v>9.4499999999999993</v>
      </c>
      <c r="F21" s="148"/>
      <c r="G21" s="148">
        <f t="shared" si="0"/>
        <v>9.4499999999999993</v>
      </c>
      <c r="H21" s="147">
        <f t="shared" si="1"/>
        <v>15</v>
      </c>
    </row>
    <row r="22" spans="1:8" ht="15" x14ac:dyDescent="0.2">
      <c r="A22" s="26">
        <v>19</v>
      </c>
      <c r="B22" s="146" t="s">
        <v>33</v>
      </c>
      <c r="C22" s="147">
        <v>5</v>
      </c>
      <c r="D22" s="148">
        <v>2.87</v>
      </c>
      <c r="E22" s="148">
        <v>8.7200000000000006</v>
      </c>
      <c r="F22" s="148"/>
      <c r="G22" s="148">
        <f t="shared" si="0"/>
        <v>8.7200000000000006</v>
      </c>
      <c r="H22" s="147">
        <f t="shared" si="1"/>
        <v>14</v>
      </c>
    </row>
    <row r="23" spans="1:8" ht="15" x14ac:dyDescent="0.2">
      <c r="A23" s="26">
        <v>20</v>
      </c>
      <c r="B23" s="146" t="s">
        <v>232</v>
      </c>
      <c r="C23" s="147">
        <v>5</v>
      </c>
      <c r="D23" s="148"/>
      <c r="E23" s="148">
        <v>8.1</v>
      </c>
      <c r="F23" s="148"/>
      <c r="G23" s="148">
        <f t="shared" si="0"/>
        <v>8.1</v>
      </c>
      <c r="H23" s="147">
        <f t="shared" si="1"/>
        <v>13</v>
      </c>
    </row>
    <row r="24" spans="1:8" ht="15" x14ac:dyDescent="0.2">
      <c r="A24" s="26">
        <v>21</v>
      </c>
      <c r="B24" s="146" t="s">
        <v>98</v>
      </c>
      <c r="C24" s="147">
        <v>2</v>
      </c>
      <c r="D24" s="148">
        <v>4.01</v>
      </c>
      <c r="E24" s="148">
        <v>7.88</v>
      </c>
      <c r="F24" s="148"/>
      <c r="G24" s="148">
        <f t="shared" si="0"/>
        <v>7.88</v>
      </c>
      <c r="H24" s="147">
        <f t="shared" si="1"/>
        <v>12</v>
      </c>
    </row>
    <row r="25" spans="1:8" ht="15" x14ac:dyDescent="0.2">
      <c r="A25" s="26">
        <v>22</v>
      </c>
      <c r="B25" s="146" t="s">
        <v>31</v>
      </c>
      <c r="C25" s="147">
        <v>4</v>
      </c>
      <c r="D25" s="148">
        <v>2.99</v>
      </c>
      <c r="E25" s="148">
        <v>7.72</v>
      </c>
      <c r="F25" s="148"/>
      <c r="G25" s="148">
        <f t="shared" si="0"/>
        <v>7.72</v>
      </c>
      <c r="H25" s="147">
        <f t="shared" si="1"/>
        <v>11</v>
      </c>
    </row>
    <row r="26" spans="1:8" ht="15" x14ac:dyDescent="0.2">
      <c r="A26" s="26">
        <v>23</v>
      </c>
      <c r="B26" s="146" t="s">
        <v>56</v>
      </c>
      <c r="C26" s="147">
        <v>5</v>
      </c>
      <c r="D26" s="148">
        <v>1.82</v>
      </c>
      <c r="E26" s="148">
        <v>7.63</v>
      </c>
      <c r="F26" s="148"/>
      <c r="G26" s="148">
        <f t="shared" si="0"/>
        <v>7.63</v>
      </c>
      <c r="H26" s="147">
        <f t="shared" si="1"/>
        <v>10</v>
      </c>
    </row>
    <row r="27" spans="1:8" ht="15" x14ac:dyDescent="0.2">
      <c r="A27" s="26">
        <v>24</v>
      </c>
      <c r="B27" s="146" t="s">
        <v>99</v>
      </c>
      <c r="C27" s="147">
        <v>3</v>
      </c>
      <c r="D27" s="148"/>
      <c r="E27" s="148">
        <v>5</v>
      </c>
      <c r="F27" s="148"/>
      <c r="G27" s="148">
        <f t="shared" si="0"/>
        <v>5</v>
      </c>
      <c r="H27" s="147">
        <f t="shared" si="1"/>
        <v>9</v>
      </c>
    </row>
    <row r="28" spans="1:8" ht="15" x14ac:dyDescent="0.2">
      <c r="A28" s="26">
        <v>25</v>
      </c>
      <c r="B28" s="146" t="s">
        <v>141</v>
      </c>
      <c r="C28" s="147">
        <v>1</v>
      </c>
      <c r="D28" s="148">
        <v>4.91</v>
      </c>
      <c r="E28" s="148">
        <v>4.91</v>
      </c>
      <c r="F28" s="148"/>
      <c r="G28" s="148">
        <f t="shared" si="0"/>
        <v>4.91</v>
      </c>
      <c r="H28" s="147">
        <f t="shared" si="1"/>
        <v>8</v>
      </c>
    </row>
    <row r="29" spans="1:8" ht="15" x14ac:dyDescent="0.2">
      <c r="A29" s="26">
        <v>26</v>
      </c>
      <c r="B29" s="146" t="s">
        <v>55</v>
      </c>
      <c r="C29" s="147">
        <v>3</v>
      </c>
      <c r="D29" s="148"/>
      <c r="E29" s="148">
        <v>4.8099999999999996</v>
      </c>
      <c r="F29" s="148"/>
      <c r="G29" s="148">
        <f t="shared" si="0"/>
        <v>4.8099999999999996</v>
      </c>
      <c r="H29" s="147">
        <f t="shared" si="1"/>
        <v>7</v>
      </c>
    </row>
    <row r="30" spans="1:8" ht="15" x14ac:dyDescent="0.2">
      <c r="A30" s="26">
        <v>27</v>
      </c>
      <c r="B30" s="44" t="s">
        <v>112</v>
      </c>
      <c r="C30" s="26">
        <v>3</v>
      </c>
      <c r="D30" s="27"/>
      <c r="E30" s="27">
        <v>4.04</v>
      </c>
      <c r="F30" s="27"/>
      <c r="G30" s="27">
        <f t="shared" si="0"/>
        <v>4.04</v>
      </c>
      <c r="H30" s="26">
        <f t="shared" si="1"/>
        <v>6</v>
      </c>
    </row>
    <row r="31" spans="1:8" ht="15" x14ac:dyDescent="0.2">
      <c r="A31" s="26">
        <v>28</v>
      </c>
      <c r="B31" s="44" t="s">
        <v>180</v>
      </c>
      <c r="C31" s="26">
        <v>2</v>
      </c>
      <c r="D31" s="27"/>
      <c r="E31" s="27">
        <v>3.52</v>
      </c>
      <c r="F31" s="27"/>
      <c r="G31" s="27">
        <f t="shared" si="0"/>
        <v>3.52</v>
      </c>
      <c r="H31" s="26">
        <f t="shared" si="1"/>
        <v>5</v>
      </c>
    </row>
    <row r="32" spans="1:8" ht="15" x14ac:dyDescent="0.2">
      <c r="A32" s="26">
        <v>29</v>
      </c>
      <c r="B32" s="44" t="s">
        <v>97</v>
      </c>
      <c r="C32" s="26">
        <v>2</v>
      </c>
      <c r="D32" s="27">
        <v>1.62</v>
      </c>
      <c r="E32" s="27">
        <v>2.88</v>
      </c>
      <c r="F32" s="27"/>
      <c r="G32" s="27">
        <f t="shared" si="0"/>
        <v>2.88</v>
      </c>
      <c r="H32" s="26">
        <f t="shared" si="1"/>
        <v>4</v>
      </c>
    </row>
    <row r="33" spans="1:8" ht="15" hidden="1" x14ac:dyDescent="0.2">
      <c r="A33" s="26">
        <v>30</v>
      </c>
      <c r="B33" s="44"/>
      <c r="C33" s="26"/>
      <c r="D33" s="27"/>
      <c r="E33" s="27"/>
      <c r="F33" s="27"/>
      <c r="G33" s="27">
        <f t="shared" si="0"/>
        <v>0</v>
      </c>
      <c r="H33" s="26">
        <f t="shared" si="1"/>
        <v>3</v>
      </c>
    </row>
    <row r="34" spans="1:8" ht="15" hidden="1" x14ac:dyDescent="0.2">
      <c r="A34" s="26">
        <v>31</v>
      </c>
      <c r="B34" s="44"/>
      <c r="C34" s="26"/>
      <c r="D34" s="27"/>
      <c r="E34" s="27"/>
      <c r="F34" s="27"/>
      <c r="G34" s="27">
        <f t="shared" si="0"/>
        <v>0</v>
      </c>
      <c r="H34" s="26">
        <f t="shared" si="1"/>
        <v>2</v>
      </c>
    </row>
    <row r="35" spans="1:8" ht="15" hidden="1" x14ac:dyDescent="0.2">
      <c r="A35" s="26">
        <v>32</v>
      </c>
      <c r="B35" s="44"/>
      <c r="C35" s="26"/>
      <c r="D35" s="27"/>
      <c r="E35" s="27"/>
      <c r="F35" s="27"/>
      <c r="G35" s="27">
        <f t="shared" si="0"/>
        <v>0</v>
      </c>
      <c r="H35" s="26">
        <f t="shared" si="1"/>
        <v>2</v>
      </c>
    </row>
    <row r="36" spans="1:8" ht="15" hidden="1" x14ac:dyDescent="0.2">
      <c r="A36" s="26">
        <v>33</v>
      </c>
      <c r="B36" s="44"/>
      <c r="C36" s="26"/>
      <c r="D36" s="27"/>
      <c r="E36" s="27"/>
      <c r="F36" s="27"/>
      <c r="G36" s="27">
        <f t="shared" si="0"/>
        <v>0</v>
      </c>
      <c r="H36" s="26">
        <f t="shared" si="1"/>
        <v>2</v>
      </c>
    </row>
    <row r="37" spans="1:8" ht="15" hidden="1" x14ac:dyDescent="0.2">
      <c r="A37" s="26">
        <v>34</v>
      </c>
      <c r="B37" s="44"/>
      <c r="C37" s="26"/>
      <c r="D37" s="27"/>
      <c r="E37" s="27"/>
      <c r="F37" s="27"/>
      <c r="G37" s="27">
        <f t="shared" si="0"/>
        <v>0</v>
      </c>
      <c r="H37" s="26">
        <f t="shared" si="1"/>
        <v>2</v>
      </c>
    </row>
    <row r="38" spans="1:8" ht="15" hidden="1" x14ac:dyDescent="0.2">
      <c r="A38" s="26">
        <v>35</v>
      </c>
      <c r="B38" s="44"/>
      <c r="C38" s="26"/>
      <c r="D38" s="27"/>
      <c r="E38" s="27"/>
      <c r="F38" s="27"/>
      <c r="G38" s="27">
        <f t="shared" si="0"/>
        <v>0</v>
      </c>
      <c r="H38" s="26">
        <f t="shared" si="1"/>
        <v>2</v>
      </c>
    </row>
    <row r="39" spans="1:8" ht="15" hidden="1" x14ac:dyDescent="0.2">
      <c r="A39" s="26">
        <v>36</v>
      </c>
      <c r="B39" s="44"/>
      <c r="C39" s="26"/>
      <c r="D39" s="27"/>
      <c r="E39" s="27"/>
      <c r="F39" s="27"/>
      <c r="G39" s="27">
        <f t="shared" si="0"/>
        <v>0</v>
      </c>
      <c r="H39" s="26">
        <f t="shared" si="1"/>
        <v>2</v>
      </c>
    </row>
    <row r="40" spans="1:8" ht="15" hidden="1" x14ac:dyDescent="0.2">
      <c r="A40" s="26">
        <v>37</v>
      </c>
      <c r="B40" s="44"/>
      <c r="C40" s="26"/>
      <c r="D40" s="27"/>
      <c r="E40" s="27"/>
      <c r="F40" s="27"/>
      <c r="G40" s="27">
        <f t="shared" si="0"/>
        <v>0</v>
      </c>
      <c r="H40" s="26">
        <f t="shared" si="1"/>
        <v>2</v>
      </c>
    </row>
    <row r="41" spans="1:8" ht="15" hidden="1" x14ac:dyDescent="0.2">
      <c r="A41" s="26">
        <v>38</v>
      </c>
      <c r="B41" s="44"/>
      <c r="C41" s="26"/>
      <c r="D41" s="27"/>
      <c r="E41" s="27"/>
      <c r="F41" s="27"/>
      <c r="G41" s="27">
        <f t="shared" si="0"/>
        <v>0</v>
      </c>
      <c r="H41" s="26">
        <f t="shared" si="1"/>
        <v>2</v>
      </c>
    </row>
    <row r="42" spans="1:8" ht="15" x14ac:dyDescent="0.2">
      <c r="A42" s="26"/>
      <c r="B42" s="44"/>
      <c r="C42" s="26"/>
      <c r="D42" s="27"/>
      <c r="E42" s="27"/>
      <c r="F42" s="27"/>
      <c r="G42" s="27"/>
      <c r="H42" s="26"/>
    </row>
    <row r="43" spans="1:8" ht="15" x14ac:dyDescent="0.2">
      <c r="A43" s="156" t="s">
        <v>85</v>
      </c>
      <c r="B43" s="156"/>
      <c r="C43" s="38">
        <f>COUNT(table5[Number of Fish])</f>
        <v>29</v>
      </c>
      <c r="D43" s="12"/>
      <c r="E43" s="8"/>
      <c r="F43" s="8"/>
      <c r="G43" s="8"/>
      <c r="H43" s="12"/>
    </row>
    <row r="44" spans="1:8" ht="15" x14ac:dyDescent="0.2">
      <c r="A44" s="156" t="s">
        <v>86</v>
      </c>
      <c r="B44" s="156"/>
      <c r="C44" s="38">
        <f>SUM(table5[Number of Fish])</f>
        <v>123</v>
      </c>
      <c r="D44" s="12"/>
      <c r="E44" s="8"/>
      <c r="F44" s="8"/>
      <c r="G44" s="8"/>
      <c r="H44" s="12"/>
    </row>
    <row r="45" spans="1:8" ht="15" x14ac:dyDescent="0.2">
      <c r="A45" s="156" t="s">
        <v>87</v>
      </c>
      <c r="B45" s="156"/>
      <c r="C45" s="39">
        <f>SUM(table5[Total Weight])</f>
        <v>311.56000000000006</v>
      </c>
      <c r="D45" s="8"/>
      <c r="E45" s="27"/>
      <c r="F45" s="27"/>
      <c r="G45" s="27"/>
      <c r="H45" s="12"/>
    </row>
    <row r="46" spans="1:8" ht="15" x14ac:dyDescent="0.2">
      <c r="A46" s="156" t="s">
        <v>88</v>
      </c>
      <c r="B46" s="156"/>
      <c r="C46" s="39">
        <f>C45/C44</f>
        <v>2.5330081300813014</v>
      </c>
      <c r="D46" s="8"/>
      <c r="E46" s="27"/>
      <c r="F46" s="27"/>
      <c r="G46" s="27"/>
      <c r="H46" s="12"/>
    </row>
    <row r="47" spans="1:8" ht="15" x14ac:dyDescent="0.2">
      <c r="A47" s="156" t="s">
        <v>89</v>
      </c>
      <c r="B47" s="156"/>
      <c r="C47" s="39">
        <f>C44/C43</f>
        <v>4.2413793103448274</v>
      </c>
      <c r="D47" s="8"/>
      <c r="E47" s="4"/>
      <c r="F47" s="4"/>
      <c r="G47" s="4"/>
      <c r="H47" s="27"/>
    </row>
    <row r="48" spans="1:8" ht="15" x14ac:dyDescent="0.2">
      <c r="A48" s="12"/>
      <c r="C48" s="4"/>
      <c r="D48" s="8"/>
      <c r="H48" s="27"/>
    </row>
    <row r="49" spans="1:8" ht="15" x14ac:dyDescent="0.2">
      <c r="A49" s="12"/>
      <c r="H49" s="4"/>
    </row>
    <row r="50" spans="1:8" ht="15" x14ac:dyDescent="0.2">
      <c r="A50" s="12"/>
    </row>
    <row r="51" spans="1:8" ht="15" x14ac:dyDescent="0.2">
      <c r="A51" s="28"/>
    </row>
    <row r="52" spans="1:8" ht="15" x14ac:dyDescent="0.2">
      <c r="A52" s="28"/>
    </row>
    <row r="53" spans="1:8" ht="15" x14ac:dyDescent="0.2">
      <c r="A53" s="28"/>
    </row>
  </sheetData>
  <sortState ref="B4:G55">
    <sortCondition descending="1" ref="G4:G55"/>
    <sortCondition ref="B4:B55"/>
  </sortState>
  <mergeCells count="7">
    <mergeCell ref="A46:B46"/>
    <mergeCell ref="A47:B47"/>
    <mergeCell ref="A2:H2"/>
    <mergeCell ref="A1:H1"/>
    <mergeCell ref="A43:B43"/>
    <mergeCell ref="A44:B44"/>
    <mergeCell ref="A45:B45"/>
  </mergeCells>
  <phoneticPr fontId="0" type="noConversion"/>
  <conditionalFormatting sqref="B4">
    <cfRule type="duplicateValues" dxfId="15" priority="1"/>
  </conditionalFormatting>
  <printOptions horizontalCentered="1" verticalCentered="1"/>
  <pageMargins left="0.2" right="0.2" top="0.25" bottom="0.25" header="0" footer="0"/>
  <pageSetup scale="70" orientation="portrait" r:id="rId1"/>
  <headerFooter alignWithMargins="0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NameVal!$A:$A</xm:f>
          </x14:formula1>
          <xm:sqref>B4:B42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3" tint="0.79998168889431442"/>
    <pageSetUpPr fitToPage="1"/>
  </sheetPr>
  <dimension ref="A1:IS37"/>
  <sheetViews>
    <sheetView zoomScale="70" zoomScaleNormal="70" workbookViewId="0">
      <selection activeCell="M21" sqref="M21"/>
    </sheetView>
  </sheetViews>
  <sheetFormatPr defaultColWidth="9.140625" defaultRowHeight="15.75" x14ac:dyDescent="0.25"/>
  <cols>
    <col min="1" max="1" width="7.28515625" style="5" bestFit="1" customWidth="1"/>
    <col min="2" max="2" width="32.5703125" style="23" customWidth="1"/>
    <col min="3" max="3" width="25.42578125" style="1" bestFit="1" customWidth="1"/>
    <col min="4" max="4" width="16.7109375" style="1" bestFit="1" customWidth="1"/>
    <col min="5" max="5" width="22" style="1" bestFit="1" customWidth="1"/>
    <col min="6" max="6" width="16" style="1" bestFit="1" customWidth="1"/>
    <col min="7" max="7" width="20" style="1" bestFit="1" customWidth="1"/>
    <col min="8" max="8" width="21.42578125" style="1" bestFit="1" customWidth="1"/>
    <col min="9" max="16384" width="9.140625" style="2"/>
  </cols>
  <sheetData>
    <row r="1" spans="1:8" ht="31.5" x14ac:dyDescent="0.6">
      <c r="A1" s="175" t="s">
        <v>256</v>
      </c>
      <c r="B1" s="175"/>
      <c r="C1" s="175"/>
      <c r="D1" s="175"/>
      <c r="E1" s="175"/>
      <c r="F1" s="175"/>
      <c r="G1" s="175"/>
      <c r="H1" s="175"/>
    </row>
    <row r="2" spans="1:8" ht="20.25" x14ac:dyDescent="0.3">
      <c r="A2" s="176" t="s">
        <v>248</v>
      </c>
      <c r="B2" s="176"/>
      <c r="C2" s="176"/>
      <c r="D2" s="176"/>
      <c r="E2" s="176"/>
      <c r="F2" s="176"/>
      <c r="G2" s="176"/>
      <c r="H2" s="176"/>
    </row>
    <row r="3" spans="1:8" ht="15.75" customHeight="1" x14ac:dyDescent="0.25">
      <c r="A3" s="82" t="s">
        <v>175</v>
      </c>
      <c r="B3" s="90" t="s">
        <v>22</v>
      </c>
      <c r="C3" s="91" t="s">
        <v>204</v>
      </c>
      <c r="D3" s="92" t="s">
        <v>174</v>
      </c>
      <c r="E3" s="92" t="s">
        <v>205</v>
      </c>
      <c r="F3" s="92" t="s">
        <v>172</v>
      </c>
      <c r="G3" s="92" t="s">
        <v>206</v>
      </c>
      <c r="H3" s="93" t="s">
        <v>207</v>
      </c>
    </row>
    <row r="4" spans="1:8" x14ac:dyDescent="0.2">
      <c r="A4" s="154">
        <v>1</v>
      </c>
      <c r="B4" s="28" t="s">
        <v>59</v>
      </c>
      <c r="C4" s="102">
        <v>3</v>
      </c>
      <c r="D4" s="105">
        <v>9.01</v>
      </c>
      <c r="E4" s="105">
        <v>15.92</v>
      </c>
      <c r="F4" s="105"/>
      <c r="G4" s="105">
        <f t="shared" ref="G4:G31" si="0">E4-F4</f>
        <v>15.92</v>
      </c>
      <c r="H4" s="79">
        <f t="shared" ref="H4:H30" si="1">IF(A4&lt;31,33-A4,2)</f>
        <v>32</v>
      </c>
    </row>
    <row r="5" spans="1:8" s="3" customFormat="1" ht="15" x14ac:dyDescent="0.2">
      <c r="A5" s="153">
        <v>2</v>
      </c>
      <c r="B5" s="102" t="s">
        <v>234</v>
      </c>
      <c r="C5" s="102">
        <v>3</v>
      </c>
      <c r="D5" s="105">
        <v>4.0599999999999996</v>
      </c>
      <c r="E5" s="105">
        <v>11.94</v>
      </c>
      <c r="F5" s="105"/>
      <c r="G5" s="105">
        <f t="shared" si="0"/>
        <v>11.94</v>
      </c>
      <c r="H5" s="26">
        <f t="shared" si="1"/>
        <v>31</v>
      </c>
    </row>
    <row r="6" spans="1:8" s="3" customFormat="1" ht="15" x14ac:dyDescent="0.2">
      <c r="A6" s="152">
        <v>3</v>
      </c>
      <c r="B6" s="102" t="s">
        <v>54</v>
      </c>
      <c r="C6" s="102">
        <v>3</v>
      </c>
      <c r="D6" s="105">
        <v>5.71</v>
      </c>
      <c r="E6" s="105">
        <v>11.55</v>
      </c>
      <c r="F6" s="105"/>
      <c r="G6" s="105">
        <f t="shared" si="0"/>
        <v>11.55</v>
      </c>
      <c r="H6" s="26">
        <f t="shared" si="1"/>
        <v>30</v>
      </c>
    </row>
    <row r="7" spans="1:8" s="3" customFormat="1" ht="15" x14ac:dyDescent="0.2">
      <c r="A7" s="153">
        <v>4</v>
      </c>
      <c r="B7" s="102" t="s">
        <v>180</v>
      </c>
      <c r="C7" s="102">
        <v>3</v>
      </c>
      <c r="D7" s="105">
        <v>4.1500000000000004</v>
      </c>
      <c r="E7" s="105">
        <v>10.57</v>
      </c>
      <c r="F7" s="105"/>
      <c r="G7" s="105">
        <f t="shared" si="0"/>
        <v>10.57</v>
      </c>
      <c r="H7" s="26">
        <f t="shared" si="1"/>
        <v>29</v>
      </c>
    </row>
    <row r="8" spans="1:8" s="3" customFormat="1" ht="15" x14ac:dyDescent="0.2">
      <c r="A8" s="152">
        <v>5</v>
      </c>
      <c r="B8" s="102" t="s">
        <v>48</v>
      </c>
      <c r="C8" s="102">
        <v>3</v>
      </c>
      <c r="D8" s="105">
        <v>3.6</v>
      </c>
      <c r="E8" s="105">
        <v>9.9</v>
      </c>
      <c r="F8" s="105"/>
      <c r="G8" s="105">
        <f t="shared" si="0"/>
        <v>9.9</v>
      </c>
      <c r="H8" s="26">
        <f t="shared" si="1"/>
        <v>28</v>
      </c>
    </row>
    <row r="9" spans="1:8" s="3" customFormat="1" ht="15" x14ac:dyDescent="0.2">
      <c r="A9" s="153">
        <v>6</v>
      </c>
      <c r="B9" s="102" t="s">
        <v>67</v>
      </c>
      <c r="C9" s="102">
        <v>3</v>
      </c>
      <c r="D9" s="105">
        <v>3.3</v>
      </c>
      <c r="E9" s="105">
        <v>9.6199999999999992</v>
      </c>
      <c r="F9" s="105"/>
      <c r="G9" s="105">
        <f t="shared" si="0"/>
        <v>9.6199999999999992</v>
      </c>
      <c r="H9" s="26">
        <f t="shared" si="1"/>
        <v>27</v>
      </c>
    </row>
    <row r="10" spans="1:8" s="3" customFormat="1" ht="15" x14ac:dyDescent="0.2">
      <c r="A10" s="152">
        <v>7</v>
      </c>
      <c r="B10" s="102" t="s">
        <v>223</v>
      </c>
      <c r="C10" s="102">
        <v>3</v>
      </c>
      <c r="D10" s="105">
        <v>3.53</v>
      </c>
      <c r="E10" s="105">
        <v>9.33</v>
      </c>
      <c r="F10" s="105"/>
      <c r="G10" s="105">
        <f t="shared" si="0"/>
        <v>9.33</v>
      </c>
      <c r="H10" s="26">
        <f t="shared" si="1"/>
        <v>26</v>
      </c>
    </row>
    <row r="11" spans="1:8" ht="15" x14ac:dyDescent="0.2">
      <c r="A11" s="153">
        <v>8</v>
      </c>
      <c r="B11" s="102" t="s">
        <v>138</v>
      </c>
      <c r="C11" s="102">
        <v>3</v>
      </c>
      <c r="D11" s="105">
        <v>3.41</v>
      </c>
      <c r="E11" s="105">
        <v>9.16</v>
      </c>
      <c r="F11" s="105"/>
      <c r="G11" s="105">
        <f t="shared" si="0"/>
        <v>9.16</v>
      </c>
      <c r="H11" s="26">
        <f t="shared" si="1"/>
        <v>25</v>
      </c>
    </row>
    <row r="12" spans="1:8" ht="15" x14ac:dyDescent="0.2">
      <c r="A12" s="152">
        <v>9</v>
      </c>
      <c r="B12" s="102" t="s">
        <v>55</v>
      </c>
      <c r="C12" s="102">
        <v>3</v>
      </c>
      <c r="D12" s="105">
        <v>5.58</v>
      </c>
      <c r="E12" s="105">
        <v>8.85</v>
      </c>
      <c r="F12" s="105"/>
      <c r="G12" s="105">
        <f t="shared" si="0"/>
        <v>8.85</v>
      </c>
      <c r="H12" s="26">
        <f t="shared" si="1"/>
        <v>24</v>
      </c>
    </row>
    <row r="13" spans="1:8" ht="15" x14ac:dyDescent="0.2">
      <c r="A13" s="153">
        <v>10</v>
      </c>
      <c r="B13" s="102" t="s">
        <v>232</v>
      </c>
      <c r="C13" s="102">
        <v>3</v>
      </c>
      <c r="D13" s="105">
        <v>2.82</v>
      </c>
      <c r="E13" s="105">
        <v>8.32</v>
      </c>
      <c r="F13" s="105"/>
      <c r="G13" s="105">
        <f t="shared" si="0"/>
        <v>8.32</v>
      </c>
      <c r="H13" s="26">
        <f t="shared" si="1"/>
        <v>23</v>
      </c>
    </row>
    <row r="14" spans="1:8" ht="15" x14ac:dyDescent="0.2">
      <c r="A14" s="152">
        <v>11</v>
      </c>
      <c r="B14" s="102" t="s">
        <v>100</v>
      </c>
      <c r="C14" s="102">
        <v>3</v>
      </c>
      <c r="D14" s="105">
        <v>2.75</v>
      </c>
      <c r="E14" s="105">
        <v>8.02</v>
      </c>
      <c r="F14" s="105"/>
      <c r="G14" s="105">
        <f t="shared" si="0"/>
        <v>8.02</v>
      </c>
      <c r="H14" s="26">
        <f t="shared" si="1"/>
        <v>22</v>
      </c>
    </row>
    <row r="15" spans="1:8" ht="15" x14ac:dyDescent="0.2">
      <c r="A15" s="153">
        <v>12</v>
      </c>
      <c r="B15" s="102" t="s">
        <v>224</v>
      </c>
      <c r="C15" s="102">
        <v>3</v>
      </c>
      <c r="D15" s="105">
        <v>3.85</v>
      </c>
      <c r="E15" s="105">
        <v>7.9</v>
      </c>
      <c r="F15" s="105"/>
      <c r="G15" s="105">
        <f t="shared" si="0"/>
        <v>7.9</v>
      </c>
      <c r="H15" s="26">
        <f t="shared" si="1"/>
        <v>21</v>
      </c>
    </row>
    <row r="16" spans="1:8" ht="15" x14ac:dyDescent="0.2">
      <c r="A16" s="152">
        <v>13</v>
      </c>
      <c r="B16" s="102" t="s">
        <v>182</v>
      </c>
      <c r="C16" s="102">
        <v>3</v>
      </c>
      <c r="D16" s="105">
        <v>2.88</v>
      </c>
      <c r="E16" s="105">
        <v>7.74</v>
      </c>
      <c r="F16" s="105"/>
      <c r="G16" s="105">
        <f t="shared" si="0"/>
        <v>7.74</v>
      </c>
      <c r="H16" s="26">
        <f t="shared" si="1"/>
        <v>20</v>
      </c>
    </row>
    <row r="17" spans="1:253" ht="15" x14ac:dyDescent="0.2">
      <c r="A17" s="153">
        <v>14</v>
      </c>
      <c r="B17" s="102" t="s">
        <v>35</v>
      </c>
      <c r="C17" s="102">
        <v>3</v>
      </c>
      <c r="D17" s="105">
        <v>2.88</v>
      </c>
      <c r="E17" s="105">
        <v>7.26</v>
      </c>
      <c r="F17" s="105"/>
      <c r="G17" s="105">
        <f t="shared" si="0"/>
        <v>7.26</v>
      </c>
      <c r="H17" s="26">
        <f t="shared" si="1"/>
        <v>19</v>
      </c>
    </row>
    <row r="18" spans="1:253" ht="15" x14ac:dyDescent="0.2">
      <c r="A18" s="152">
        <v>15</v>
      </c>
      <c r="B18" s="102" t="s">
        <v>84</v>
      </c>
      <c r="C18" s="102">
        <v>3</v>
      </c>
      <c r="D18" s="105">
        <v>2.38</v>
      </c>
      <c r="E18" s="105">
        <v>6.32</v>
      </c>
      <c r="F18" s="105"/>
      <c r="G18" s="105">
        <f t="shared" si="0"/>
        <v>6.32</v>
      </c>
      <c r="H18" s="26">
        <f t="shared" si="1"/>
        <v>18</v>
      </c>
    </row>
    <row r="19" spans="1:253" ht="15" x14ac:dyDescent="0.2">
      <c r="A19" s="153">
        <v>16</v>
      </c>
      <c r="B19" s="102" t="s">
        <v>168</v>
      </c>
      <c r="C19" s="102">
        <v>3</v>
      </c>
      <c r="D19" s="105">
        <v>2.13</v>
      </c>
      <c r="E19" s="105">
        <v>6.32</v>
      </c>
      <c r="F19" s="105"/>
      <c r="G19" s="105">
        <f t="shared" si="0"/>
        <v>6.32</v>
      </c>
      <c r="H19" s="26">
        <f t="shared" si="1"/>
        <v>17</v>
      </c>
    </row>
    <row r="20" spans="1:253" ht="15" x14ac:dyDescent="0.2">
      <c r="A20" s="152">
        <v>17</v>
      </c>
      <c r="B20" s="102" t="s">
        <v>229</v>
      </c>
      <c r="C20" s="102">
        <v>3</v>
      </c>
      <c r="D20" s="105">
        <v>2.06</v>
      </c>
      <c r="E20" s="105">
        <v>6.25</v>
      </c>
      <c r="F20" s="105"/>
      <c r="G20" s="105">
        <f t="shared" si="0"/>
        <v>6.25</v>
      </c>
      <c r="H20" s="26">
        <f t="shared" si="1"/>
        <v>16</v>
      </c>
    </row>
    <row r="21" spans="1:253" ht="15" x14ac:dyDescent="0.2">
      <c r="A21" s="153">
        <v>18</v>
      </c>
      <c r="B21" s="102" t="s">
        <v>75</v>
      </c>
      <c r="C21" s="102">
        <v>3</v>
      </c>
      <c r="D21" s="105">
        <v>2.4900000000000002</v>
      </c>
      <c r="E21" s="105">
        <v>6.14</v>
      </c>
      <c r="F21" s="105"/>
      <c r="G21" s="105">
        <f t="shared" si="0"/>
        <v>6.14</v>
      </c>
      <c r="H21" s="26">
        <f t="shared" si="1"/>
        <v>15</v>
      </c>
    </row>
    <row r="22" spans="1:253" ht="15" x14ac:dyDescent="0.2">
      <c r="A22" s="152">
        <v>19</v>
      </c>
      <c r="B22" s="102" t="s">
        <v>163</v>
      </c>
      <c r="C22" s="102">
        <v>3</v>
      </c>
      <c r="D22" s="105">
        <v>1.9</v>
      </c>
      <c r="E22" s="105">
        <v>6.05</v>
      </c>
      <c r="F22" s="105"/>
      <c r="G22" s="105">
        <f t="shared" si="0"/>
        <v>6.05</v>
      </c>
      <c r="H22" s="26">
        <f t="shared" si="1"/>
        <v>14</v>
      </c>
    </row>
    <row r="23" spans="1:253" ht="15" x14ac:dyDescent="0.2">
      <c r="A23" s="153">
        <v>20</v>
      </c>
      <c r="B23" s="102" t="s">
        <v>33</v>
      </c>
      <c r="C23" s="102">
        <v>3</v>
      </c>
      <c r="D23" s="105">
        <v>2.0499999999999998</v>
      </c>
      <c r="E23" s="105">
        <v>6.02</v>
      </c>
      <c r="F23" s="105"/>
      <c r="G23" s="105">
        <f t="shared" si="0"/>
        <v>6.02</v>
      </c>
      <c r="H23" s="26">
        <f t="shared" si="1"/>
        <v>13</v>
      </c>
    </row>
    <row r="24" spans="1:253" ht="15" x14ac:dyDescent="0.2">
      <c r="A24" s="152">
        <v>21</v>
      </c>
      <c r="B24" s="102" t="s">
        <v>238</v>
      </c>
      <c r="C24" s="102">
        <v>3</v>
      </c>
      <c r="D24" s="105">
        <v>1.9</v>
      </c>
      <c r="E24" s="105">
        <v>5.87</v>
      </c>
      <c r="F24" s="105"/>
      <c r="G24" s="105">
        <f t="shared" si="0"/>
        <v>5.87</v>
      </c>
      <c r="H24" s="26">
        <f t="shared" si="1"/>
        <v>12</v>
      </c>
    </row>
    <row r="25" spans="1:253" ht="15" x14ac:dyDescent="0.2">
      <c r="A25" s="153">
        <v>22</v>
      </c>
      <c r="B25" s="102" t="s">
        <v>266</v>
      </c>
      <c r="C25" s="102">
        <v>3</v>
      </c>
      <c r="D25" s="105">
        <v>1.89</v>
      </c>
      <c r="E25" s="105">
        <v>5.55</v>
      </c>
      <c r="F25" s="105"/>
      <c r="G25" s="105">
        <f t="shared" si="0"/>
        <v>5.55</v>
      </c>
      <c r="H25" s="26">
        <f t="shared" si="1"/>
        <v>11</v>
      </c>
    </row>
    <row r="26" spans="1:253" ht="15" x14ac:dyDescent="0.2">
      <c r="A26" s="152">
        <v>23</v>
      </c>
      <c r="B26" s="102" t="s">
        <v>31</v>
      </c>
      <c r="C26" s="102">
        <v>3</v>
      </c>
      <c r="D26" s="105">
        <v>2.2200000000000002</v>
      </c>
      <c r="E26" s="105">
        <v>5.51</v>
      </c>
      <c r="F26" s="105"/>
      <c r="G26" s="105">
        <f t="shared" si="0"/>
        <v>5.51</v>
      </c>
      <c r="H26" s="26">
        <f t="shared" si="1"/>
        <v>10</v>
      </c>
    </row>
    <row r="27" spans="1:253" ht="15" x14ac:dyDescent="0.2">
      <c r="A27" s="153">
        <v>24</v>
      </c>
      <c r="B27" s="102" t="s">
        <v>56</v>
      </c>
      <c r="C27" s="102">
        <v>3</v>
      </c>
      <c r="D27" s="105">
        <v>2.08</v>
      </c>
      <c r="E27" s="105">
        <v>5.41</v>
      </c>
      <c r="F27" s="105"/>
      <c r="G27" s="105">
        <f t="shared" si="0"/>
        <v>5.41</v>
      </c>
      <c r="H27" s="26">
        <f t="shared" si="1"/>
        <v>9</v>
      </c>
    </row>
    <row r="28" spans="1:253" ht="15" x14ac:dyDescent="0.2">
      <c r="A28" s="152">
        <v>25</v>
      </c>
      <c r="B28" s="102" t="s">
        <v>141</v>
      </c>
      <c r="C28" s="102">
        <v>2</v>
      </c>
      <c r="D28" s="105">
        <v>3.03</v>
      </c>
      <c r="E28" s="105">
        <v>5.37</v>
      </c>
      <c r="F28" s="105"/>
      <c r="G28" s="105">
        <f t="shared" si="0"/>
        <v>5.37</v>
      </c>
      <c r="H28" s="26">
        <f t="shared" si="1"/>
        <v>8</v>
      </c>
    </row>
    <row r="29" spans="1:253" ht="15" x14ac:dyDescent="0.2">
      <c r="A29" s="153">
        <v>26</v>
      </c>
      <c r="B29" s="102" t="s">
        <v>170</v>
      </c>
      <c r="C29" s="102">
        <v>3</v>
      </c>
      <c r="D29" s="105">
        <v>1.69</v>
      </c>
      <c r="E29" s="105">
        <v>5.26</v>
      </c>
      <c r="F29" s="105"/>
      <c r="G29" s="105">
        <f t="shared" si="0"/>
        <v>5.26</v>
      </c>
      <c r="H29" s="26">
        <f t="shared" si="1"/>
        <v>7</v>
      </c>
    </row>
    <row r="30" spans="1:253" ht="15" x14ac:dyDescent="0.2">
      <c r="A30" s="152">
        <v>27</v>
      </c>
      <c r="B30" s="102" t="s">
        <v>221</v>
      </c>
      <c r="C30" s="102">
        <v>2</v>
      </c>
      <c r="D30" s="105">
        <v>1.99</v>
      </c>
      <c r="E30" s="105">
        <v>3.59</v>
      </c>
      <c r="F30" s="105"/>
      <c r="G30" s="105">
        <f t="shared" si="0"/>
        <v>3.59</v>
      </c>
      <c r="H30" s="26">
        <f t="shared" si="1"/>
        <v>6</v>
      </c>
    </row>
    <row r="31" spans="1:253" ht="15" x14ac:dyDescent="0.2">
      <c r="A31" s="153">
        <v>28</v>
      </c>
      <c r="B31" s="102" t="s">
        <v>263</v>
      </c>
      <c r="C31" s="102">
        <v>0</v>
      </c>
      <c r="D31" s="105">
        <v>0</v>
      </c>
      <c r="E31" s="105">
        <v>0</v>
      </c>
      <c r="F31" s="105"/>
      <c r="G31" s="105">
        <f t="shared" si="0"/>
        <v>0</v>
      </c>
      <c r="H31" s="26">
        <v>2</v>
      </c>
      <c r="I31" s="27"/>
      <c r="J31" s="27"/>
      <c r="K31" s="27"/>
      <c r="L31" s="28"/>
      <c r="M31" s="3"/>
      <c r="N31" s="28"/>
      <c r="O31" s="29"/>
      <c r="P31" s="26"/>
      <c r="Q31" s="27"/>
      <c r="R31" s="27"/>
      <c r="S31" s="27"/>
      <c r="T31" s="28"/>
      <c r="U31" s="3"/>
      <c r="V31" s="28"/>
      <c r="W31" s="29"/>
      <c r="X31" s="26"/>
      <c r="Y31" s="27"/>
      <c r="Z31" s="27"/>
      <c r="AA31" s="27"/>
      <c r="AB31" s="28"/>
      <c r="AC31" s="3"/>
      <c r="AD31" s="28"/>
      <c r="AE31" s="29"/>
      <c r="AF31" s="26"/>
      <c r="AG31" s="27"/>
      <c r="AH31" s="27"/>
      <c r="AI31" s="27"/>
      <c r="AJ31" s="28"/>
      <c r="AK31" s="3"/>
      <c r="AL31" s="28"/>
      <c r="AM31" s="29"/>
      <c r="AN31" s="26"/>
      <c r="AO31" s="27"/>
      <c r="AP31" s="27"/>
      <c r="AQ31" s="27"/>
      <c r="AR31" s="28"/>
      <c r="AS31" s="3"/>
      <c r="AT31" s="28"/>
      <c r="AU31" s="29"/>
      <c r="AV31" s="26"/>
      <c r="AW31" s="27"/>
      <c r="AX31" s="27"/>
      <c r="AY31" s="27"/>
      <c r="AZ31" s="28"/>
      <c r="BA31" s="3"/>
      <c r="BB31" s="28"/>
      <c r="BC31" s="29"/>
      <c r="BD31" s="26"/>
      <c r="BE31" s="27"/>
      <c r="BF31" s="27"/>
      <c r="BG31" s="27"/>
      <c r="BH31" s="28"/>
      <c r="BI31" s="3"/>
      <c r="BJ31" s="28"/>
      <c r="BK31" s="29"/>
      <c r="BL31" s="26"/>
      <c r="BM31" s="27"/>
      <c r="BN31" s="27"/>
      <c r="BO31" s="27"/>
      <c r="BP31" s="28"/>
      <c r="BQ31" s="3"/>
      <c r="BR31" s="28"/>
      <c r="BS31" s="29"/>
      <c r="BT31" s="26"/>
      <c r="BU31" s="27"/>
      <c r="BV31" s="27"/>
      <c r="BW31" s="27"/>
      <c r="BX31" s="28"/>
      <c r="BY31" s="3"/>
      <c r="BZ31" s="28"/>
      <c r="CA31" s="29"/>
      <c r="CB31" s="26"/>
      <c r="CC31" s="27"/>
      <c r="CD31" s="27"/>
      <c r="CE31" s="27"/>
      <c r="CF31" s="28"/>
      <c r="CG31" s="3"/>
      <c r="CH31" s="28"/>
      <c r="CI31" s="29"/>
      <c r="CJ31" s="26"/>
      <c r="CK31" s="27"/>
      <c r="CL31" s="27"/>
      <c r="CM31" s="27"/>
      <c r="CN31" s="28"/>
      <c r="CO31" s="3"/>
      <c r="CP31" s="28"/>
      <c r="CQ31" s="29"/>
      <c r="CR31" s="26"/>
      <c r="CS31" s="27"/>
      <c r="CT31" s="27"/>
      <c r="CU31" s="27"/>
      <c r="CV31" s="28"/>
      <c r="CW31" s="3"/>
      <c r="CX31" s="28"/>
      <c r="CY31" s="29"/>
      <c r="CZ31" s="26"/>
      <c r="DA31" s="27"/>
      <c r="DB31" s="27"/>
      <c r="DC31" s="27"/>
      <c r="DD31" s="28"/>
      <c r="DE31" s="3"/>
      <c r="DF31" s="28"/>
      <c r="DG31" s="29"/>
      <c r="DH31" s="26"/>
      <c r="DI31" s="27"/>
      <c r="DJ31" s="27"/>
      <c r="DK31" s="27"/>
      <c r="DL31" s="28"/>
      <c r="DM31" s="3"/>
      <c r="DN31" s="28"/>
      <c r="DO31" s="29"/>
      <c r="DP31" s="26"/>
      <c r="DQ31" s="27"/>
      <c r="DR31" s="27"/>
      <c r="DS31" s="27"/>
      <c r="DT31" s="28"/>
      <c r="DU31" s="3"/>
      <c r="DV31" s="28"/>
      <c r="DW31" s="29"/>
      <c r="DX31" s="26"/>
      <c r="DY31" s="27"/>
      <c r="DZ31" s="27"/>
      <c r="EA31" s="27"/>
      <c r="EB31" s="28"/>
      <c r="EC31" s="3"/>
      <c r="ED31" s="28"/>
      <c r="EE31" s="29"/>
      <c r="EF31" s="26"/>
      <c r="EG31" s="27"/>
      <c r="EH31" s="27"/>
      <c r="EI31" s="27"/>
      <c r="EJ31" s="28"/>
      <c r="EK31" s="3"/>
      <c r="EL31" s="28"/>
      <c r="EM31" s="29"/>
      <c r="EN31" s="26"/>
      <c r="EO31" s="27"/>
      <c r="EP31" s="27"/>
      <c r="EQ31" s="27"/>
      <c r="ER31" s="28"/>
      <c r="ES31" s="3"/>
      <c r="ET31" s="28"/>
      <c r="EU31" s="29"/>
      <c r="EV31" s="26"/>
      <c r="EW31" s="27"/>
      <c r="EX31" s="27"/>
      <c r="EY31" s="27"/>
      <c r="EZ31" s="28"/>
      <c r="FA31" s="3"/>
      <c r="FB31" s="28"/>
      <c r="FC31" s="29"/>
      <c r="FD31" s="26"/>
      <c r="FE31" s="27"/>
      <c r="FF31" s="27"/>
      <c r="FG31" s="27"/>
      <c r="FH31" s="28"/>
      <c r="FI31" s="3"/>
      <c r="FJ31" s="28"/>
      <c r="FK31" s="29"/>
      <c r="FL31" s="26"/>
      <c r="FM31" s="27"/>
      <c r="FN31" s="27"/>
      <c r="FO31" s="27"/>
      <c r="FP31" s="28"/>
      <c r="FQ31" s="3"/>
      <c r="FR31" s="28"/>
      <c r="FS31" s="29"/>
      <c r="FT31" s="26"/>
      <c r="FU31" s="27"/>
      <c r="FV31" s="27"/>
      <c r="FW31" s="27"/>
      <c r="FX31" s="28"/>
      <c r="FY31" s="3"/>
      <c r="FZ31" s="28"/>
      <c r="GA31" s="29"/>
      <c r="GB31" s="26"/>
      <c r="GC31" s="27"/>
      <c r="GD31" s="27"/>
      <c r="GE31" s="27"/>
      <c r="GF31" s="28"/>
      <c r="GG31" s="3"/>
      <c r="GH31" s="28"/>
      <c r="GI31" s="29"/>
      <c r="GJ31" s="26"/>
      <c r="GK31" s="27"/>
      <c r="GL31" s="27"/>
      <c r="GM31" s="27"/>
      <c r="GN31" s="28"/>
      <c r="GO31" s="3"/>
      <c r="GP31" s="28"/>
      <c r="GQ31" s="29"/>
      <c r="GR31" s="26"/>
      <c r="GS31" s="27"/>
      <c r="GT31" s="27"/>
      <c r="GU31" s="27"/>
      <c r="GV31" s="28"/>
      <c r="GW31" s="3"/>
      <c r="GX31" s="28"/>
      <c r="GY31" s="29"/>
      <c r="GZ31" s="26"/>
      <c r="HA31" s="27"/>
      <c r="HB31" s="27"/>
      <c r="HC31" s="27"/>
      <c r="HD31" s="28"/>
      <c r="HE31" s="3"/>
      <c r="HF31" s="28"/>
      <c r="HG31" s="29"/>
      <c r="HH31" s="26"/>
      <c r="HI31" s="27"/>
      <c r="HJ31" s="27"/>
      <c r="HK31" s="27"/>
      <c r="HL31" s="28"/>
      <c r="HM31" s="3"/>
      <c r="HN31" s="28"/>
      <c r="HO31" s="29"/>
      <c r="HP31" s="26"/>
      <c r="HQ31" s="27"/>
      <c r="HR31" s="27"/>
      <c r="HS31" s="27"/>
      <c r="HT31" s="28"/>
      <c r="HU31" s="3"/>
      <c r="HV31" s="28"/>
      <c r="HW31" s="29"/>
      <c r="HX31" s="26"/>
      <c r="HY31" s="27"/>
      <c r="HZ31" s="27"/>
      <c r="IA31" s="27"/>
      <c r="IB31" s="28"/>
      <c r="IC31" s="3"/>
      <c r="ID31" s="28"/>
      <c r="IE31" s="29"/>
      <c r="IF31" s="26"/>
      <c r="IG31" s="27"/>
      <c r="IH31" s="27"/>
      <c r="II31" s="27"/>
      <c r="IJ31" s="28"/>
      <c r="IK31" s="3"/>
      <c r="IL31" s="28"/>
      <c r="IM31" s="29"/>
      <c r="IN31" s="26"/>
      <c r="IO31" s="27"/>
      <c r="IP31" s="27"/>
      <c r="IQ31" s="27"/>
      <c r="IR31" s="28"/>
      <c r="IS31" s="3"/>
    </row>
    <row r="32" spans="1:253" ht="15" x14ac:dyDescent="0.2">
      <c r="A32" s="26"/>
      <c r="B32" s="26"/>
      <c r="C32" s="26"/>
      <c r="D32" s="26"/>
      <c r="E32" s="27"/>
      <c r="F32" s="27"/>
      <c r="G32" s="27"/>
      <c r="H32" s="26"/>
    </row>
    <row r="33" spans="1:8" ht="15" x14ac:dyDescent="0.2">
      <c r="A33" s="156" t="s">
        <v>85</v>
      </c>
      <c r="B33" s="156"/>
      <c r="C33" s="38">
        <f>COUNT(table6[Number of Fish])</f>
        <v>28</v>
      </c>
      <c r="D33" s="38"/>
      <c r="E33" s="38"/>
      <c r="F33" s="39"/>
      <c r="G33" s="39"/>
      <c r="H33" s="47"/>
    </row>
    <row r="34" spans="1:8" ht="15" x14ac:dyDescent="0.2">
      <c r="A34" s="156" t="s">
        <v>86</v>
      </c>
      <c r="B34" s="156"/>
      <c r="C34" s="38">
        <f>SUM(table6[Number of Fish])</f>
        <v>79</v>
      </c>
      <c r="D34" s="38"/>
      <c r="E34" s="38"/>
      <c r="F34" s="39"/>
      <c r="G34" s="39"/>
      <c r="H34" s="47"/>
    </row>
    <row r="35" spans="1:8" ht="15" x14ac:dyDescent="0.2">
      <c r="A35" s="156" t="s">
        <v>87</v>
      </c>
      <c r="B35" s="156"/>
      <c r="C35" s="39">
        <f>SUM(table6[Total Weight])</f>
        <v>209.73999999999998</v>
      </c>
      <c r="D35" s="38"/>
      <c r="E35" s="39"/>
      <c r="F35" s="39"/>
      <c r="G35" s="39"/>
      <c r="H35" s="46"/>
    </row>
    <row r="36" spans="1:8" ht="15" x14ac:dyDescent="0.2">
      <c r="A36" s="156" t="s">
        <v>88</v>
      </c>
      <c r="B36" s="156"/>
      <c r="C36" s="39">
        <f>C35/C34</f>
        <v>2.6549367088607592</v>
      </c>
      <c r="D36" s="38"/>
      <c r="E36" s="48"/>
      <c r="F36" s="39"/>
      <c r="G36" s="39"/>
      <c r="H36" s="46"/>
    </row>
    <row r="37" spans="1:8" ht="15" x14ac:dyDescent="0.2">
      <c r="A37" s="156" t="s">
        <v>89</v>
      </c>
      <c r="B37" s="156"/>
      <c r="C37" s="39">
        <f>C34/C33</f>
        <v>2.8214285714285716</v>
      </c>
      <c r="D37" s="38"/>
      <c r="E37" s="39"/>
      <c r="F37" s="39"/>
      <c r="G37" s="39"/>
      <c r="H37" s="46"/>
    </row>
  </sheetData>
  <sortState ref="B34:B37">
    <sortCondition ref="B34:B37"/>
  </sortState>
  <mergeCells count="7">
    <mergeCell ref="A36:B36"/>
    <mergeCell ref="A37:B37"/>
    <mergeCell ref="A1:H1"/>
    <mergeCell ref="A2:H2"/>
    <mergeCell ref="A33:B33"/>
    <mergeCell ref="A34:B34"/>
    <mergeCell ref="A35:B35"/>
  </mergeCells>
  <phoneticPr fontId="0" type="noConversion"/>
  <conditionalFormatting sqref="B4">
    <cfRule type="duplicateValues" dxfId="14" priority="2"/>
  </conditionalFormatting>
  <conditionalFormatting sqref="A4">
    <cfRule type="duplicateValues" dxfId="13" priority="1"/>
  </conditionalFormatting>
  <printOptions horizontalCentered="1" verticalCentered="1"/>
  <pageMargins left="0.25" right="0.25" top="0.25" bottom="0.25" header="0" footer="0"/>
  <pageSetup scale="83" orientation="landscape" r:id="rId1"/>
  <headerFooter alignWithMargins="0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NameVal!$A:$A</xm:f>
          </x14:formula1>
          <xm:sqref>B4:B31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H39"/>
  <sheetViews>
    <sheetView zoomScale="70" zoomScaleNormal="70" workbookViewId="0">
      <selection activeCell="C39" sqref="C39"/>
    </sheetView>
  </sheetViews>
  <sheetFormatPr defaultColWidth="9.140625" defaultRowHeight="15.75" x14ac:dyDescent="0.25"/>
  <cols>
    <col min="1" max="1" width="12.85546875" style="5" customWidth="1"/>
    <col min="2" max="2" width="31.85546875" style="1" customWidth="1"/>
    <col min="3" max="3" width="24.85546875" style="55" bestFit="1" customWidth="1"/>
    <col min="4" max="4" width="15.140625" style="55" bestFit="1" customWidth="1"/>
    <col min="5" max="5" width="16.140625" style="1" bestFit="1" customWidth="1"/>
    <col min="6" max="6" width="21.28515625" style="1" bestFit="1" customWidth="1"/>
    <col min="7" max="7" width="19.5703125" style="1" bestFit="1" customWidth="1"/>
    <col min="8" max="8" width="20.42578125" style="1" bestFit="1" customWidth="1"/>
    <col min="9" max="16384" width="9.140625" style="2"/>
  </cols>
  <sheetData>
    <row r="1" spans="1:8" ht="31.5" x14ac:dyDescent="0.6">
      <c r="A1" s="157" t="s">
        <v>255</v>
      </c>
      <c r="B1" s="157"/>
      <c r="C1" s="157"/>
      <c r="D1" s="157"/>
      <c r="E1" s="157"/>
      <c r="F1" s="157"/>
      <c r="G1" s="157"/>
      <c r="H1" s="157"/>
    </row>
    <row r="2" spans="1:8" ht="20.25" x14ac:dyDescent="0.3">
      <c r="A2" s="158" t="s">
        <v>249</v>
      </c>
      <c r="B2" s="158"/>
      <c r="C2" s="158"/>
      <c r="D2" s="158"/>
      <c r="E2" s="158"/>
      <c r="F2" s="158"/>
      <c r="G2" s="158"/>
      <c r="H2" s="158"/>
    </row>
    <row r="3" spans="1:8" s="81" customFormat="1" x14ac:dyDescent="0.25">
      <c r="A3" s="82" t="s">
        <v>175</v>
      </c>
      <c r="B3" s="90" t="s">
        <v>22</v>
      </c>
      <c r="C3" s="91" t="s">
        <v>204</v>
      </c>
      <c r="D3" s="92" t="s">
        <v>174</v>
      </c>
      <c r="E3" s="92" t="s">
        <v>205</v>
      </c>
      <c r="F3" s="92" t="s">
        <v>172</v>
      </c>
      <c r="G3" s="92" t="s">
        <v>206</v>
      </c>
      <c r="H3" s="93" t="s">
        <v>207</v>
      </c>
    </row>
    <row r="4" spans="1:8" x14ac:dyDescent="0.2">
      <c r="A4" s="84">
        <v>1</v>
      </c>
      <c r="B4" s="28" t="s">
        <v>223</v>
      </c>
      <c r="C4" s="102">
        <v>3</v>
      </c>
      <c r="D4" s="105">
        <v>6.27</v>
      </c>
      <c r="E4" s="105">
        <v>16.77</v>
      </c>
      <c r="F4" s="105"/>
      <c r="G4" s="105">
        <f t="shared" ref="G4:G32" si="0">E4-F4</f>
        <v>16.77</v>
      </c>
      <c r="H4" s="79">
        <f t="shared" ref="H4:H31" si="1">IF(A4&lt;31,33-A4,2)</f>
        <v>32</v>
      </c>
    </row>
    <row r="5" spans="1:8" ht="15" x14ac:dyDescent="0.2">
      <c r="A5" s="87">
        <v>2</v>
      </c>
      <c r="B5" s="102" t="s">
        <v>33</v>
      </c>
      <c r="C5" s="102">
        <v>3</v>
      </c>
      <c r="D5" s="105">
        <v>6.08</v>
      </c>
      <c r="E5" s="105">
        <v>14.93</v>
      </c>
      <c r="F5" s="105"/>
      <c r="G5" s="105">
        <f t="shared" si="0"/>
        <v>14.93</v>
      </c>
      <c r="H5" s="87">
        <f t="shared" si="1"/>
        <v>31</v>
      </c>
    </row>
    <row r="6" spans="1:8" ht="15" x14ac:dyDescent="0.2">
      <c r="A6" s="84">
        <v>3</v>
      </c>
      <c r="B6" s="102" t="s">
        <v>35</v>
      </c>
      <c r="C6" s="102">
        <v>3</v>
      </c>
      <c r="D6" s="105">
        <v>5.57</v>
      </c>
      <c r="E6" s="105">
        <v>13.8</v>
      </c>
      <c r="F6" s="105"/>
      <c r="G6" s="105">
        <f t="shared" si="0"/>
        <v>13.8</v>
      </c>
      <c r="H6" s="121">
        <f t="shared" si="1"/>
        <v>30</v>
      </c>
    </row>
    <row r="7" spans="1:8" ht="15" x14ac:dyDescent="0.2">
      <c r="A7" s="87">
        <v>4</v>
      </c>
      <c r="B7" s="102" t="s">
        <v>67</v>
      </c>
      <c r="C7" s="102">
        <v>3</v>
      </c>
      <c r="D7" s="105">
        <v>4.21</v>
      </c>
      <c r="E7" s="105">
        <v>11.18</v>
      </c>
      <c r="F7" s="105"/>
      <c r="G7" s="105">
        <f t="shared" si="0"/>
        <v>11.18</v>
      </c>
      <c r="H7" s="87">
        <f t="shared" si="1"/>
        <v>29</v>
      </c>
    </row>
    <row r="8" spans="1:8" ht="15" x14ac:dyDescent="0.2">
      <c r="A8" s="84">
        <v>5</v>
      </c>
      <c r="B8" s="102" t="s">
        <v>84</v>
      </c>
      <c r="C8" s="102">
        <v>3</v>
      </c>
      <c r="D8" s="105">
        <v>4.18</v>
      </c>
      <c r="E8" s="105">
        <v>11.04</v>
      </c>
      <c r="F8" s="105"/>
      <c r="G8" s="105">
        <f t="shared" si="0"/>
        <v>11.04</v>
      </c>
      <c r="H8" s="26">
        <f t="shared" si="1"/>
        <v>28</v>
      </c>
    </row>
    <row r="9" spans="1:8" ht="15" x14ac:dyDescent="0.2">
      <c r="A9" s="87">
        <v>6</v>
      </c>
      <c r="B9" s="102" t="s">
        <v>141</v>
      </c>
      <c r="C9" s="102">
        <v>3</v>
      </c>
      <c r="D9" s="105">
        <v>5.1100000000000003</v>
      </c>
      <c r="E9" s="105">
        <v>11</v>
      </c>
      <c r="F9" s="105"/>
      <c r="G9" s="105">
        <f t="shared" si="0"/>
        <v>11</v>
      </c>
      <c r="H9" s="87">
        <f t="shared" si="1"/>
        <v>27</v>
      </c>
    </row>
    <row r="10" spans="1:8" ht="15" x14ac:dyDescent="0.2">
      <c r="A10" s="84">
        <v>7</v>
      </c>
      <c r="B10" s="102" t="s">
        <v>112</v>
      </c>
      <c r="C10" s="102">
        <v>3</v>
      </c>
      <c r="D10" s="105">
        <v>4.3600000000000003</v>
      </c>
      <c r="E10" s="105">
        <v>10.88</v>
      </c>
      <c r="F10" s="105"/>
      <c r="G10" s="105">
        <f t="shared" si="0"/>
        <v>10.88</v>
      </c>
      <c r="H10" s="26">
        <f t="shared" si="1"/>
        <v>26</v>
      </c>
    </row>
    <row r="11" spans="1:8" ht="15" x14ac:dyDescent="0.2">
      <c r="A11" s="87">
        <v>8</v>
      </c>
      <c r="B11" s="102" t="s">
        <v>59</v>
      </c>
      <c r="C11" s="102">
        <v>3</v>
      </c>
      <c r="D11" s="105">
        <v>4.05</v>
      </c>
      <c r="E11" s="105">
        <v>10.58</v>
      </c>
      <c r="F11" s="105"/>
      <c r="G11" s="105">
        <f t="shared" si="0"/>
        <v>10.58</v>
      </c>
      <c r="H11" s="87">
        <f t="shared" si="1"/>
        <v>25</v>
      </c>
    </row>
    <row r="12" spans="1:8" ht="15" x14ac:dyDescent="0.2">
      <c r="A12" s="84">
        <v>9</v>
      </c>
      <c r="B12" s="102" t="s">
        <v>75</v>
      </c>
      <c r="C12" s="102">
        <v>3</v>
      </c>
      <c r="D12" s="105">
        <v>4.04</v>
      </c>
      <c r="E12" s="105">
        <v>10.24</v>
      </c>
      <c r="F12" s="105"/>
      <c r="G12" s="105">
        <f t="shared" si="0"/>
        <v>10.24</v>
      </c>
      <c r="H12" s="121">
        <f t="shared" si="1"/>
        <v>24</v>
      </c>
    </row>
    <row r="13" spans="1:8" ht="15" x14ac:dyDescent="0.2">
      <c r="A13" s="87">
        <v>10</v>
      </c>
      <c r="B13" s="102" t="s">
        <v>54</v>
      </c>
      <c r="C13" s="102">
        <v>3</v>
      </c>
      <c r="D13" s="105">
        <v>4.21</v>
      </c>
      <c r="E13" s="105">
        <v>10.18</v>
      </c>
      <c r="F13" s="105"/>
      <c r="G13" s="105">
        <f t="shared" si="0"/>
        <v>10.18</v>
      </c>
      <c r="H13" s="142">
        <f t="shared" si="1"/>
        <v>23</v>
      </c>
    </row>
    <row r="14" spans="1:8" ht="15" x14ac:dyDescent="0.2">
      <c r="A14" s="84">
        <v>11</v>
      </c>
      <c r="B14" s="102" t="s">
        <v>168</v>
      </c>
      <c r="C14" s="102">
        <v>3</v>
      </c>
      <c r="D14" s="105">
        <v>3.58</v>
      </c>
      <c r="E14" s="105">
        <v>10.130000000000001</v>
      </c>
      <c r="F14" s="105"/>
      <c r="G14" s="105">
        <f t="shared" si="0"/>
        <v>10.130000000000001</v>
      </c>
      <c r="H14" s="124">
        <f t="shared" si="1"/>
        <v>22</v>
      </c>
    </row>
    <row r="15" spans="1:8" ht="15" x14ac:dyDescent="0.2">
      <c r="A15" s="87">
        <v>12</v>
      </c>
      <c r="B15" s="102" t="s">
        <v>163</v>
      </c>
      <c r="C15" s="102">
        <v>3</v>
      </c>
      <c r="D15" s="105">
        <v>3.56</v>
      </c>
      <c r="E15" s="105">
        <v>9.6</v>
      </c>
      <c r="F15" s="105"/>
      <c r="G15" s="105">
        <f t="shared" si="0"/>
        <v>9.6</v>
      </c>
      <c r="H15" s="87">
        <f t="shared" si="1"/>
        <v>21</v>
      </c>
    </row>
    <row r="16" spans="1:8" ht="15" x14ac:dyDescent="0.2">
      <c r="A16" s="84">
        <v>13</v>
      </c>
      <c r="B16" s="102" t="s">
        <v>100</v>
      </c>
      <c r="C16" s="102">
        <v>3</v>
      </c>
      <c r="D16" s="105">
        <v>3.92</v>
      </c>
      <c r="E16" s="105">
        <v>9.5500000000000007</v>
      </c>
      <c r="F16" s="105"/>
      <c r="G16" s="105">
        <f t="shared" si="0"/>
        <v>9.5500000000000007</v>
      </c>
      <c r="H16" s="121">
        <f t="shared" si="1"/>
        <v>20</v>
      </c>
    </row>
    <row r="17" spans="1:8" s="3" customFormat="1" ht="15" x14ac:dyDescent="0.2">
      <c r="A17" s="102">
        <v>14</v>
      </c>
      <c r="B17" s="118" t="s">
        <v>266</v>
      </c>
      <c r="C17" s="102">
        <v>3</v>
      </c>
      <c r="D17" s="105">
        <v>3.62</v>
      </c>
      <c r="E17" s="105">
        <v>9.41</v>
      </c>
      <c r="F17" s="105"/>
      <c r="G17" s="105">
        <f t="shared" si="0"/>
        <v>9.41</v>
      </c>
      <c r="H17" s="87">
        <f t="shared" si="1"/>
        <v>19</v>
      </c>
    </row>
    <row r="18" spans="1:8" ht="15" x14ac:dyDescent="0.2">
      <c r="A18" s="89">
        <v>15</v>
      </c>
      <c r="B18" s="102" t="s">
        <v>138</v>
      </c>
      <c r="C18" s="102">
        <v>3</v>
      </c>
      <c r="D18" s="105">
        <v>3.45</v>
      </c>
      <c r="E18" s="105">
        <v>9.1999999999999993</v>
      </c>
      <c r="F18" s="105"/>
      <c r="G18" s="105">
        <f t="shared" si="0"/>
        <v>9.1999999999999993</v>
      </c>
      <c r="H18" s="121">
        <f t="shared" si="1"/>
        <v>18</v>
      </c>
    </row>
    <row r="19" spans="1:8" s="3" customFormat="1" ht="15" x14ac:dyDescent="0.2">
      <c r="A19" s="102">
        <v>16</v>
      </c>
      <c r="B19" s="102" t="s">
        <v>221</v>
      </c>
      <c r="C19" s="102">
        <v>3</v>
      </c>
      <c r="D19" s="105">
        <v>3.07</v>
      </c>
      <c r="E19" s="105">
        <v>8.77</v>
      </c>
      <c r="F19" s="105"/>
      <c r="G19" s="105">
        <f t="shared" si="0"/>
        <v>8.77</v>
      </c>
      <c r="H19" s="87">
        <f t="shared" si="1"/>
        <v>17</v>
      </c>
    </row>
    <row r="20" spans="1:8" ht="15" x14ac:dyDescent="0.2">
      <c r="A20" s="89">
        <v>17</v>
      </c>
      <c r="B20" s="54" t="s">
        <v>234</v>
      </c>
      <c r="C20" s="102">
        <v>3</v>
      </c>
      <c r="D20" s="105">
        <v>3.42</v>
      </c>
      <c r="E20" s="105">
        <v>8.67</v>
      </c>
      <c r="F20" s="105"/>
      <c r="G20" s="105">
        <f t="shared" si="0"/>
        <v>8.67</v>
      </c>
      <c r="H20" s="26">
        <f t="shared" si="1"/>
        <v>16</v>
      </c>
    </row>
    <row r="21" spans="1:8" s="119" customFormat="1" ht="15" x14ac:dyDescent="0.2">
      <c r="A21" s="102">
        <v>18</v>
      </c>
      <c r="B21" s="103" t="s">
        <v>229</v>
      </c>
      <c r="C21" s="103">
        <v>3</v>
      </c>
      <c r="D21" s="104">
        <v>3.21</v>
      </c>
      <c r="E21" s="104">
        <v>8.4499999999999993</v>
      </c>
      <c r="F21" s="104"/>
      <c r="G21" s="104">
        <f t="shared" si="0"/>
        <v>8.4499999999999993</v>
      </c>
      <c r="H21" s="87">
        <f t="shared" si="1"/>
        <v>15</v>
      </c>
    </row>
    <row r="22" spans="1:8" ht="15" x14ac:dyDescent="0.2">
      <c r="A22" s="89">
        <v>19</v>
      </c>
      <c r="B22" s="103" t="s">
        <v>49</v>
      </c>
      <c r="C22" s="103">
        <v>3</v>
      </c>
      <c r="D22" s="104">
        <v>3.58</v>
      </c>
      <c r="E22" s="104">
        <v>8.4</v>
      </c>
      <c r="F22" s="104"/>
      <c r="G22" s="104">
        <f t="shared" si="0"/>
        <v>8.4</v>
      </c>
      <c r="H22" s="26">
        <f t="shared" si="1"/>
        <v>14</v>
      </c>
    </row>
    <row r="23" spans="1:8" s="3" customFormat="1" ht="15" x14ac:dyDescent="0.2">
      <c r="A23" s="102">
        <v>20</v>
      </c>
      <c r="B23" s="102" t="s">
        <v>48</v>
      </c>
      <c r="C23" s="102">
        <v>3</v>
      </c>
      <c r="D23" s="105"/>
      <c r="E23" s="105">
        <v>7.87</v>
      </c>
      <c r="F23" s="105"/>
      <c r="G23" s="105">
        <f t="shared" si="0"/>
        <v>7.87</v>
      </c>
      <c r="H23" s="87">
        <f t="shared" si="1"/>
        <v>13</v>
      </c>
    </row>
    <row r="24" spans="1:8" ht="15" x14ac:dyDescent="0.2">
      <c r="A24" s="84">
        <v>21</v>
      </c>
      <c r="B24" s="102" t="s">
        <v>232</v>
      </c>
      <c r="C24" s="102">
        <v>3</v>
      </c>
      <c r="D24" s="105">
        <v>2.81</v>
      </c>
      <c r="E24" s="105">
        <v>7.78</v>
      </c>
      <c r="F24" s="105"/>
      <c r="G24" s="105">
        <f t="shared" si="0"/>
        <v>7.78</v>
      </c>
      <c r="H24" s="26">
        <f t="shared" si="1"/>
        <v>12</v>
      </c>
    </row>
    <row r="25" spans="1:8" s="3" customFormat="1" ht="15" x14ac:dyDescent="0.2">
      <c r="A25" s="102">
        <v>22</v>
      </c>
      <c r="B25" s="102" t="s">
        <v>180</v>
      </c>
      <c r="C25" s="102">
        <v>3</v>
      </c>
      <c r="D25" s="105">
        <v>2.91</v>
      </c>
      <c r="E25" s="105">
        <v>7.74</v>
      </c>
      <c r="F25" s="105"/>
      <c r="G25" s="105">
        <f t="shared" si="0"/>
        <v>7.74</v>
      </c>
      <c r="H25" s="87">
        <f t="shared" si="1"/>
        <v>11</v>
      </c>
    </row>
    <row r="26" spans="1:8" ht="15" x14ac:dyDescent="0.2">
      <c r="A26" s="84">
        <v>23</v>
      </c>
      <c r="B26" s="102" t="s">
        <v>56</v>
      </c>
      <c r="C26" s="102">
        <v>3</v>
      </c>
      <c r="D26" s="105">
        <v>2.92</v>
      </c>
      <c r="E26" s="105">
        <v>7.7</v>
      </c>
      <c r="F26" s="105"/>
      <c r="G26" s="105">
        <f t="shared" si="0"/>
        <v>7.7</v>
      </c>
      <c r="H26" s="26">
        <f t="shared" si="1"/>
        <v>10</v>
      </c>
    </row>
    <row r="27" spans="1:8" s="3" customFormat="1" ht="15" x14ac:dyDescent="0.2">
      <c r="A27" s="102">
        <v>24</v>
      </c>
      <c r="B27" s="102" t="s">
        <v>224</v>
      </c>
      <c r="C27" s="102">
        <v>3</v>
      </c>
      <c r="D27" s="105">
        <v>3.09</v>
      </c>
      <c r="E27" s="105">
        <v>7.53</v>
      </c>
      <c r="F27" s="105"/>
      <c r="G27" s="105">
        <f t="shared" si="0"/>
        <v>7.53</v>
      </c>
      <c r="H27" s="87">
        <f t="shared" si="1"/>
        <v>9</v>
      </c>
    </row>
    <row r="28" spans="1:8" ht="15" x14ac:dyDescent="0.2">
      <c r="A28" s="84">
        <v>25</v>
      </c>
      <c r="B28" s="102" t="s">
        <v>31</v>
      </c>
      <c r="C28" s="102">
        <v>3</v>
      </c>
      <c r="D28" s="105">
        <v>2.56</v>
      </c>
      <c r="E28" s="105">
        <v>6.97</v>
      </c>
      <c r="F28" s="105"/>
      <c r="G28" s="105">
        <f t="shared" si="0"/>
        <v>6.97</v>
      </c>
      <c r="H28" s="26">
        <f t="shared" si="1"/>
        <v>8</v>
      </c>
    </row>
    <row r="29" spans="1:8" s="3" customFormat="1" ht="15" x14ac:dyDescent="0.2">
      <c r="A29" s="102">
        <v>26</v>
      </c>
      <c r="B29" s="102" t="s">
        <v>170</v>
      </c>
      <c r="C29" s="102">
        <v>3</v>
      </c>
      <c r="D29" s="105">
        <v>2.2000000000000002</v>
      </c>
      <c r="E29" s="105">
        <v>6.31</v>
      </c>
      <c r="F29" s="105"/>
      <c r="G29" s="105">
        <f t="shared" si="0"/>
        <v>6.31</v>
      </c>
      <c r="H29" s="102">
        <f t="shared" si="1"/>
        <v>7</v>
      </c>
    </row>
    <row r="30" spans="1:8" ht="15" x14ac:dyDescent="0.2">
      <c r="A30" s="84">
        <v>27</v>
      </c>
      <c r="B30" s="102" t="s">
        <v>268</v>
      </c>
      <c r="C30" s="102">
        <v>3</v>
      </c>
      <c r="D30" s="105">
        <v>1.69</v>
      </c>
      <c r="E30" s="105">
        <v>4.96</v>
      </c>
      <c r="F30" s="105"/>
      <c r="G30" s="105">
        <f t="shared" si="0"/>
        <v>4.96</v>
      </c>
      <c r="H30" s="26">
        <f t="shared" si="1"/>
        <v>6</v>
      </c>
    </row>
    <row r="31" spans="1:8" ht="15" x14ac:dyDescent="0.2">
      <c r="A31" s="102">
        <v>28</v>
      </c>
      <c r="B31" s="125" t="s">
        <v>238</v>
      </c>
      <c r="C31" s="125">
        <v>3</v>
      </c>
      <c r="D31" s="126">
        <v>2.35</v>
      </c>
      <c r="E31" s="126">
        <v>3.96</v>
      </c>
      <c r="F31" s="126"/>
      <c r="G31" s="126">
        <f t="shared" si="0"/>
        <v>3.96</v>
      </c>
      <c r="H31" s="125">
        <f t="shared" si="1"/>
        <v>5</v>
      </c>
    </row>
    <row r="32" spans="1:8" ht="15" x14ac:dyDescent="0.2">
      <c r="A32" s="84">
        <v>29</v>
      </c>
      <c r="B32" s="135" t="s">
        <v>55</v>
      </c>
      <c r="C32" s="135">
        <v>0</v>
      </c>
      <c r="D32" s="136"/>
      <c r="E32" s="136"/>
      <c r="F32" s="136"/>
      <c r="G32" s="136">
        <f t="shared" si="0"/>
        <v>0</v>
      </c>
      <c r="H32" s="135">
        <v>2</v>
      </c>
    </row>
    <row r="33" spans="1:8" ht="15" x14ac:dyDescent="0.2">
      <c r="A33" s="103"/>
      <c r="B33" s="103"/>
      <c r="C33" s="103"/>
      <c r="D33" s="104"/>
      <c r="E33" s="104"/>
      <c r="F33" s="104"/>
      <c r="G33" s="104"/>
      <c r="H33" s="103"/>
    </row>
    <row r="34" spans="1:8" ht="15" x14ac:dyDescent="0.2">
      <c r="A34" s="26"/>
      <c r="B34" s="26"/>
      <c r="C34" s="26"/>
      <c r="D34" s="26"/>
      <c r="E34" s="27"/>
      <c r="F34" s="27"/>
      <c r="G34" s="27"/>
      <c r="H34" s="26"/>
    </row>
    <row r="35" spans="1:8" ht="15" x14ac:dyDescent="0.2">
      <c r="A35" s="156" t="s">
        <v>85</v>
      </c>
      <c r="B35" s="156"/>
      <c r="C35" s="38">
        <f>COUNT(table7[Number of Fish])</f>
        <v>29</v>
      </c>
      <c r="D35" s="38"/>
      <c r="E35" s="38"/>
      <c r="F35" s="39"/>
      <c r="G35" s="39"/>
      <c r="H35" s="47"/>
    </row>
    <row r="36" spans="1:8" ht="15" x14ac:dyDescent="0.2">
      <c r="A36" s="156" t="s">
        <v>86</v>
      </c>
      <c r="B36" s="156"/>
      <c r="C36" s="38">
        <f>SUM(table7[Number of Fish])</f>
        <v>84</v>
      </c>
      <c r="D36" s="38"/>
      <c r="E36" s="38"/>
      <c r="F36" s="39"/>
      <c r="G36" s="39"/>
      <c r="H36" s="47"/>
    </row>
    <row r="37" spans="1:8" ht="15" x14ac:dyDescent="0.2">
      <c r="A37" s="156" t="s">
        <v>87</v>
      </c>
      <c r="B37" s="156"/>
      <c r="C37" s="39">
        <f>SUM(table7[Total Weight])</f>
        <v>263.59999999999997</v>
      </c>
      <c r="D37" s="38"/>
      <c r="E37" s="39"/>
      <c r="F37" s="39"/>
      <c r="G37" s="39"/>
      <c r="H37" s="46"/>
    </row>
    <row r="38" spans="1:8" ht="15" x14ac:dyDescent="0.2">
      <c r="A38" s="156" t="s">
        <v>88</v>
      </c>
      <c r="B38" s="156"/>
      <c r="C38" s="39">
        <f>C37/C36</f>
        <v>3.1380952380952376</v>
      </c>
      <c r="D38" s="38"/>
      <c r="E38" s="48"/>
      <c r="F38" s="39"/>
      <c r="G38" s="39"/>
      <c r="H38" s="46"/>
    </row>
    <row r="39" spans="1:8" ht="15" x14ac:dyDescent="0.2">
      <c r="A39" s="156" t="s">
        <v>89</v>
      </c>
      <c r="B39" s="156"/>
      <c r="C39" s="39">
        <f>C36/C35</f>
        <v>2.896551724137931</v>
      </c>
      <c r="D39" s="38"/>
      <c r="E39" s="39"/>
      <c r="F39" s="39"/>
      <c r="G39" s="39"/>
      <c r="H39" s="46"/>
    </row>
  </sheetData>
  <mergeCells count="7">
    <mergeCell ref="A39:B39"/>
    <mergeCell ref="A1:H1"/>
    <mergeCell ref="A2:H2"/>
    <mergeCell ref="A35:B35"/>
    <mergeCell ref="A36:B36"/>
    <mergeCell ref="A37:B37"/>
    <mergeCell ref="A38:B38"/>
  </mergeCells>
  <conditionalFormatting sqref="B4">
    <cfRule type="duplicateValues" dxfId="12" priority="1"/>
  </conditionalFormatting>
  <printOptions horizontalCentered="1" verticalCentered="1"/>
  <pageMargins left="0.25" right="0.25" top="0.25" bottom="0.25" header="0" footer="0"/>
  <pageSetup scale="83" orientation="landscape" r:id="rId1"/>
  <headerFooter alignWithMargins="0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NameVal!$A:$A</xm:f>
          </x14:formula1>
          <xm:sqref>B4:B32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3" tint="0.79998168889431442"/>
    <pageSetUpPr fitToPage="1"/>
  </sheetPr>
  <dimension ref="A1:H36"/>
  <sheetViews>
    <sheetView zoomScale="70" zoomScaleNormal="70" workbookViewId="0">
      <selection activeCell="C41" sqref="C41"/>
    </sheetView>
  </sheetViews>
  <sheetFormatPr defaultColWidth="9.140625" defaultRowHeight="15.75" x14ac:dyDescent="0.25"/>
  <cols>
    <col min="1" max="1" width="8.42578125" style="5" customWidth="1"/>
    <col min="2" max="2" width="26.7109375" style="72" customWidth="1"/>
    <col min="3" max="3" width="22.85546875" style="1" customWidth="1"/>
    <col min="4" max="7" width="18.5703125" style="1" customWidth="1"/>
    <col min="8" max="8" width="18.42578125" style="1" customWidth="1"/>
    <col min="9" max="9" width="9.140625" style="2"/>
    <col min="10" max="10" width="8" style="2" bestFit="1" customWidth="1"/>
    <col min="11" max="16384" width="9.140625" style="2"/>
  </cols>
  <sheetData>
    <row r="1" spans="1:8" ht="31.5" x14ac:dyDescent="0.6">
      <c r="A1" s="177" t="s">
        <v>58</v>
      </c>
      <c r="B1" s="177"/>
      <c r="C1" s="177"/>
      <c r="D1" s="177"/>
      <c r="E1" s="177"/>
      <c r="F1" s="177"/>
      <c r="G1" s="177"/>
      <c r="H1" s="177"/>
    </row>
    <row r="2" spans="1:8" ht="20.25" x14ac:dyDescent="0.3">
      <c r="A2" s="178" t="s">
        <v>250</v>
      </c>
      <c r="B2" s="178"/>
      <c r="C2" s="178"/>
      <c r="D2" s="178"/>
      <c r="E2" s="178"/>
      <c r="F2" s="178"/>
      <c r="G2" s="178"/>
      <c r="H2" s="178"/>
    </row>
    <row r="3" spans="1:8" x14ac:dyDescent="0.25">
      <c r="A3" s="82" t="s">
        <v>175</v>
      </c>
      <c r="B3" s="90" t="s">
        <v>22</v>
      </c>
      <c r="C3" s="91" t="s">
        <v>204</v>
      </c>
      <c r="D3" s="92" t="s">
        <v>174</v>
      </c>
      <c r="E3" s="92" t="s">
        <v>205</v>
      </c>
      <c r="F3" s="92" t="s">
        <v>172</v>
      </c>
      <c r="G3" s="92" t="s">
        <v>206</v>
      </c>
      <c r="H3" s="93" t="s">
        <v>207</v>
      </c>
    </row>
    <row r="4" spans="1:8" x14ac:dyDescent="0.2">
      <c r="A4" s="84">
        <v>1</v>
      </c>
      <c r="B4" s="28" t="s">
        <v>223</v>
      </c>
      <c r="C4" s="84">
        <v>5</v>
      </c>
      <c r="D4" s="85">
        <v>6.86</v>
      </c>
      <c r="E4" s="85">
        <v>19.79</v>
      </c>
      <c r="F4" s="85"/>
      <c r="G4" s="85">
        <f t="shared" ref="G4:G30" si="0">E4-F4</f>
        <v>19.79</v>
      </c>
      <c r="H4" s="79">
        <f t="shared" ref="H4:H26" si="1">IF(A4&lt;31,33-A4,2)</f>
        <v>32</v>
      </c>
    </row>
    <row r="5" spans="1:8" s="3" customFormat="1" ht="15" x14ac:dyDescent="0.2">
      <c r="A5" s="87">
        <v>2</v>
      </c>
      <c r="B5" s="87" t="s">
        <v>168</v>
      </c>
      <c r="C5" s="87">
        <v>5</v>
      </c>
      <c r="D5" s="88">
        <v>3.69</v>
      </c>
      <c r="E5" s="88">
        <v>16.71</v>
      </c>
      <c r="F5" s="88">
        <v>0.25</v>
      </c>
      <c r="G5" s="88">
        <f t="shared" si="0"/>
        <v>16.46</v>
      </c>
      <c r="H5" s="26">
        <f t="shared" si="1"/>
        <v>31</v>
      </c>
    </row>
    <row r="6" spans="1:8" s="3" customFormat="1" ht="15" x14ac:dyDescent="0.2">
      <c r="A6" s="84">
        <v>3</v>
      </c>
      <c r="B6" s="84" t="s">
        <v>232</v>
      </c>
      <c r="C6" s="84">
        <v>5</v>
      </c>
      <c r="D6" s="85">
        <v>5.79</v>
      </c>
      <c r="E6" s="85">
        <v>16.36</v>
      </c>
      <c r="F6" s="85"/>
      <c r="G6" s="85">
        <f t="shared" si="0"/>
        <v>16.36</v>
      </c>
      <c r="H6" s="26">
        <f t="shared" si="1"/>
        <v>30</v>
      </c>
    </row>
    <row r="7" spans="1:8" s="3" customFormat="1" ht="15" x14ac:dyDescent="0.2">
      <c r="A7" s="87">
        <v>4</v>
      </c>
      <c r="B7" s="87" t="s">
        <v>138</v>
      </c>
      <c r="C7" s="87">
        <v>5</v>
      </c>
      <c r="D7" s="88">
        <v>4.01</v>
      </c>
      <c r="E7" s="88">
        <v>16.149999999999999</v>
      </c>
      <c r="F7" s="88"/>
      <c r="G7" s="88">
        <f t="shared" si="0"/>
        <v>16.149999999999999</v>
      </c>
      <c r="H7" s="26">
        <f t="shared" si="1"/>
        <v>29</v>
      </c>
    </row>
    <row r="8" spans="1:8" s="3" customFormat="1" ht="15" x14ac:dyDescent="0.2">
      <c r="A8" s="84">
        <v>5</v>
      </c>
      <c r="B8" s="84" t="s">
        <v>59</v>
      </c>
      <c r="C8" s="84">
        <v>5</v>
      </c>
      <c r="D8" s="85">
        <v>4.2300000000000004</v>
      </c>
      <c r="E8" s="85">
        <v>15.51</v>
      </c>
      <c r="F8" s="85"/>
      <c r="G8" s="85">
        <f t="shared" si="0"/>
        <v>15.51</v>
      </c>
      <c r="H8" s="26">
        <f t="shared" si="1"/>
        <v>28</v>
      </c>
    </row>
    <row r="9" spans="1:8" s="3" customFormat="1" ht="15" x14ac:dyDescent="0.2">
      <c r="A9" s="87">
        <v>6</v>
      </c>
      <c r="B9" s="87" t="s">
        <v>224</v>
      </c>
      <c r="C9" s="87">
        <v>5</v>
      </c>
      <c r="D9" s="88">
        <v>4.6399999999999997</v>
      </c>
      <c r="E9" s="88">
        <v>15.43</v>
      </c>
      <c r="F9" s="88"/>
      <c r="G9" s="88">
        <f t="shared" si="0"/>
        <v>15.43</v>
      </c>
      <c r="H9" s="26">
        <f t="shared" si="1"/>
        <v>27</v>
      </c>
    </row>
    <row r="10" spans="1:8" s="3" customFormat="1" ht="15" x14ac:dyDescent="0.2">
      <c r="A10" s="84">
        <v>7</v>
      </c>
      <c r="B10" s="84" t="s">
        <v>112</v>
      </c>
      <c r="C10" s="84">
        <v>5</v>
      </c>
      <c r="D10" s="85">
        <v>4.41</v>
      </c>
      <c r="E10" s="85">
        <v>14.99</v>
      </c>
      <c r="F10" s="85"/>
      <c r="G10" s="85">
        <f t="shared" si="0"/>
        <v>14.99</v>
      </c>
      <c r="H10" s="26">
        <f t="shared" si="1"/>
        <v>26</v>
      </c>
    </row>
    <row r="11" spans="1:8" s="3" customFormat="1" ht="15" x14ac:dyDescent="0.2">
      <c r="A11" s="87">
        <v>8</v>
      </c>
      <c r="B11" s="87" t="s">
        <v>54</v>
      </c>
      <c r="C11" s="87">
        <v>5</v>
      </c>
      <c r="D11" s="88">
        <v>3.58</v>
      </c>
      <c r="E11" s="88">
        <v>14.98</v>
      </c>
      <c r="F11" s="88"/>
      <c r="G11" s="88">
        <f t="shared" si="0"/>
        <v>14.98</v>
      </c>
      <c r="H11" s="26">
        <f t="shared" si="1"/>
        <v>25</v>
      </c>
    </row>
    <row r="12" spans="1:8" s="3" customFormat="1" ht="15" x14ac:dyDescent="0.2">
      <c r="A12" s="84">
        <v>9</v>
      </c>
      <c r="B12" s="84" t="s">
        <v>84</v>
      </c>
      <c r="C12" s="84">
        <v>5</v>
      </c>
      <c r="D12" s="85">
        <v>3.67</v>
      </c>
      <c r="E12" s="85">
        <v>13.69</v>
      </c>
      <c r="F12" s="85"/>
      <c r="G12" s="85">
        <f t="shared" si="0"/>
        <v>13.69</v>
      </c>
      <c r="H12" s="26">
        <f t="shared" si="1"/>
        <v>24</v>
      </c>
    </row>
    <row r="13" spans="1:8" s="3" customFormat="1" ht="15" x14ac:dyDescent="0.2">
      <c r="A13" s="87">
        <v>10</v>
      </c>
      <c r="B13" s="87" t="s">
        <v>229</v>
      </c>
      <c r="C13" s="87">
        <v>5</v>
      </c>
      <c r="D13" s="88">
        <v>3.69</v>
      </c>
      <c r="E13" s="88">
        <v>13.23</v>
      </c>
      <c r="F13" s="88"/>
      <c r="G13" s="88">
        <f t="shared" si="0"/>
        <v>13.23</v>
      </c>
      <c r="H13" s="26">
        <f t="shared" si="1"/>
        <v>23</v>
      </c>
    </row>
    <row r="14" spans="1:8" s="3" customFormat="1" ht="15" x14ac:dyDescent="0.2">
      <c r="A14" s="84">
        <v>11</v>
      </c>
      <c r="B14" s="84" t="s">
        <v>100</v>
      </c>
      <c r="C14" s="84">
        <v>5</v>
      </c>
      <c r="D14" s="85">
        <v>7.05</v>
      </c>
      <c r="E14" s="85">
        <v>13.1</v>
      </c>
      <c r="F14" s="85"/>
      <c r="G14" s="85">
        <f t="shared" si="0"/>
        <v>13.1</v>
      </c>
      <c r="H14" s="26">
        <f t="shared" si="1"/>
        <v>22</v>
      </c>
    </row>
    <row r="15" spans="1:8" s="3" customFormat="1" ht="15" x14ac:dyDescent="0.2">
      <c r="A15" s="87">
        <v>12</v>
      </c>
      <c r="B15" s="87" t="s">
        <v>56</v>
      </c>
      <c r="C15" s="87">
        <v>5</v>
      </c>
      <c r="D15" s="88">
        <v>3.38</v>
      </c>
      <c r="E15" s="88">
        <v>13.04</v>
      </c>
      <c r="F15" s="88"/>
      <c r="G15" s="88">
        <f t="shared" si="0"/>
        <v>13.04</v>
      </c>
      <c r="H15" s="26">
        <f t="shared" si="1"/>
        <v>21</v>
      </c>
    </row>
    <row r="16" spans="1:8" s="3" customFormat="1" ht="15" x14ac:dyDescent="0.2">
      <c r="A16" s="84">
        <v>13</v>
      </c>
      <c r="B16" s="84" t="s">
        <v>163</v>
      </c>
      <c r="C16" s="84">
        <v>5</v>
      </c>
      <c r="D16" s="85">
        <v>3.05</v>
      </c>
      <c r="E16" s="85">
        <v>12.69</v>
      </c>
      <c r="F16" s="85"/>
      <c r="G16" s="85">
        <f t="shared" si="0"/>
        <v>12.69</v>
      </c>
      <c r="H16" s="26">
        <f t="shared" si="1"/>
        <v>20</v>
      </c>
    </row>
    <row r="17" spans="1:8" s="3" customFormat="1" ht="15" x14ac:dyDescent="0.2">
      <c r="A17" s="87">
        <v>14</v>
      </c>
      <c r="B17" s="87" t="s">
        <v>33</v>
      </c>
      <c r="C17" s="87">
        <v>5</v>
      </c>
      <c r="D17" s="88">
        <v>2.74</v>
      </c>
      <c r="E17" s="88">
        <v>11.33</v>
      </c>
      <c r="F17" s="88"/>
      <c r="G17" s="88">
        <f t="shared" si="0"/>
        <v>11.33</v>
      </c>
      <c r="H17" s="26">
        <f t="shared" si="1"/>
        <v>19</v>
      </c>
    </row>
    <row r="18" spans="1:8" s="3" customFormat="1" ht="15" x14ac:dyDescent="0.2">
      <c r="A18" s="89">
        <v>15</v>
      </c>
      <c r="B18" s="89" t="s">
        <v>170</v>
      </c>
      <c r="C18" s="84">
        <v>5</v>
      </c>
      <c r="D18" s="85">
        <v>2.15</v>
      </c>
      <c r="E18" s="85">
        <v>10.29</v>
      </c>
      <c r="F18" s="85"/>
      <c r="G18" s="85">
        <f t="shared" si="0"/>
        <v>10.29</v>
      </c>
      <c r="H18" s="26">
        <f t="shared" si="1"/>
        <v>18</v>
      </c>
    </row>
    <row r="19" spans="1:8" s="3" customFormat="1" ht="15" x14ac:dyDescent="0.2">
      <c r="A19" s="87">
        <v>16</v>
      </c>
      <c r="B19" s="87" t="s">
        <v>48</v>
      </c>
      <c r="C19" s="87">
        <v>4</v>
      </c>
      <c r="D19" s="88">
        <v>2.72</v>
      </c>
      <c r="E19" s="88">
        <v>7.65</v>
      </c>
      <c r="F19" s="88"/>
      <c r="G19" s="88">
        <f t="shared" si="0"/>
        <v>7.65</v>
      </c>
      <c r="H19" s="26">
        <f t="shared" si="1"/>
        <v>17</v>
      </c>
    </row>
    <row r="20" spans="1:8" s="3" customFormat="1" ht="15" x14ac:dyDescent="0.2">
      <c r="A20" s="84">
        <v>17</v>
      </c>
      <c r="B20" s="84" t="s">
        <v>180</v>
      </c>
      <c r="C20" s="84">
        <v>4</v>
      </c>
      <c r="D20" s="85">
        <v>2.36</v>
      </c>
      <c r="E20" s="85">
        <v>7.1</v>
      </c>
      <c r="F20" s="85"/>
      <c r="G20" s="85">
        <f t="shared" si="0"/>
        <v>7.1</v>
      </c>
      <c r="H20" s="26">
        <f t="shared" si="1"/>
        <v>16</v>
      </c>
    </row>
    <row r="21" spans="1:8" s="3" customFormat="1" ht="15" x14ac:dyDescent="0.2">
      <c r="A21" s="87">
        <v>18</v>
      </c>
      <c r="B21" s="87" t="s">
        <v>238</v>
      </c>
      <c r="C21" s="87">
        <v>3</v>
      </c>
      <c r="D21" s="88">
        <v>2.81</v>
      </c>
      <c r="E21" s="88">
        <v>7.01</v>
      </c>
      <c r="F21" s="88"/>
      <c r="G21" s="88">
        <f t="shared" si="0"/>
        <v>7.01</v>
      </c>
      <c r="H21" s="26">
        <f t="shared" si="1"/>
        <v>15</v>
      </c>
    </row>
    <row r="22" spans="1:8" s="3" customFormat="1" ht="15" x14ac:dyDescent="0.2">
      <c r="A22" s="84">
        <v>19</v>
      </c>
      <c r="B22" s="84" t="s">
        <v>234</v>
      </c>
      <c r="C22" s="84">
        <v>3</v>
      </c>
      <c r="D22" s="85">
        <v>2.4900000000000002</v>
      </c>
      <c r="E22" s="85">
        <v>5.61</v>
      </c>
      <c r="F22" s="85"/>
      <c r="G22" s="85">
        <f t="shared" si="0"/>
        <v>5.61</v>
      </c>
      <c r="H22" s="26">
        <f t="shared" si="1"/>
        <v>14</v>
      </c>
    </row>
    <row r="23" spans="1:8" s="3" customFormat="1" ht="15" x14ac:dyDescent="0.2">
      <c r="A23" s="87">
        <v>20</v>
      </c>
      <c r="B23" s="87" t="s">
        <v>266</v>
      </c>
      <c r="C23" s="87">
        <v>2</v>
      </c>
      <c r="D23" s="88">
        <v>2.79</v>
      </c>
      <c r="E23" s="88">
        <v>5.44</v>
      </c>
      <c r="F23" s="88"/>
      <c r="G23" s="88">
        <f t="shared" si="0"/>
        <v>5.44</v>
      </c>
      <c r="H23" s="26">
        <f t="shared" si="1"/>
        <v>13</v>
      </c>
    </row>
    <row r="24" spans="1:8" s="3" customFormat="1" ht="15" x14ac:dyDescent="0.2">
      <c r="A24" s="84">
        <v>21</v>
      </c>
      <c r="B24" s="84" t="s">
        <v>75</v>
      </c>
      <c r="C24" s="84">
        <v>2</v>
      </c>
      <c r="D24" s="85">
        <v>1.58</v>
      </c>
      <c r="E24" s="85">
        <v>2.5</v>
      </c>
      <c r="F24" s="85"/>
      <c r="G24" s="85">
        <f t="shared" si="0"/>
        <v>2.5</v>
      </c>
      <c r="H24" s="26">
        <f t="shared" si="1"/>
        <v>12</v>
      </c>
    </row>
    <row r="25" spans="1:8" s="3" customFormat="1" ht="15" x14ac:dyDescent="0.2">
      <c r="A25" s="87">
        <v>22</v>
      </c>
      <c r="B25" s="87" t="s">
        <v>233</v>
      </c>
      <c r="C25" s="87">
        <v>1</v>
      </c>
      <c r="D25" s="88">
        <v>1.72</v>
      </c>
      <c r="E25" s="88">
        <v>1.72</v>
      </c>
      <c r="F25" s="88"/>
      <c r="G25" s="88">
        <f t="shared" si="0"/>
        <v>1.72</v>
      </c>
      <c r="H25" s="26">
        <f t="shared" si="1"/>
        <v>11</v>
      </c>
    </row>
    <row r="26" spans="1:8" s="3" customFormat="1" ht="15" x14ac:dyDescent="0.2">
      <c r="A26" s="84">
        <v>23</v>
      </c>
      <c r="B26" s="84" t="s">
        <v>31</v>
      </c>
      <c r="C26" s="84">
        <v>1</v>
      </c>
      <c r="D26" s="85">
        <v>1.64</v>
      </c>
      <c r="E26" s="85">
        <v>1.64</v>
      </c>
      <c r="F26" s="85"/>
      <c r="G26" s="85">
        <f t="shared" si="0"/>
        <v>1.64</v>
      </c>
      <c r="H26" s="26">
        <f t="shared" si="1"/>
        <v>10</v>
      </c>
    </row>
    <row r="27" spans="1:8" s="3" customFormat="1" ht="15" x14ac:dyDescent="0.2">
      <c r="A27" s="87">
        <v>24</v>
      </c>
      <c r="B27" s="87" t="s">
        <v>269</v>
      </c>
      <c r="C27" s="87">
        <v>0</v>
      </c>
      <c r="D27" s="88"/>
      <c r="E27" s="88">
        <v>0</v>
      </c>
      <c r="F27" s="88"/>
      <c r="G27" s="88">
        <f t="shared" si="0"/>
        <v>0</v>
      </c>
      <c r="H27" s="26">
        <v>2</v>
      </c>
    </row>
    <row r="28" spans="1:8" s="3" customFormat="1" ht="15" x14ac:dyDescent="0.2">
      <c r="A28" s="84">
        <v>25</v>
      </c>
      <c r="B28" s="84" t="s">
        <v>268</v>
      </c>
      <c r="C28" s="84">
        <v>0</v>
      </c>
      <c r="D28" s="85"/>
      <c r="E28" s="85">
        <v>0</v>
      </c>
      <c r="F28" s="85"/>
      <c r="G28" s="85">
        <f t="shared" si="0"/>
        <v>0</v>
      </c>
      <c r="H28" s="26">
        <v>2</v>
      </c>
    </row>
    <row r="29" spans="1:8" s="3" customFormat="1" ht="15" x14ac:dyDescent="0.2">
      <c r="A29" s="87">
        <v>26</v>
      </c>
      <c r="B29" s="87" t="s">
        <v>221</v>
      </c>
      <c r="C29" s="87">
        <v>0</v>
      </c>
      <c r="D29" s="88"/>
      <c r="E29" s="88">
        <v>0</v>
      </c>
      <c r="F29" s="88"/>
      <c r="G29" s="88">
        <f t="shared" si="0"/>
        <v>0</v>
      </c>
      <c r="H29" s="26">
        <v>2</v>
      </c>
    </row>
    <row r="30" spans="1:8" s="3" customFormat="1" ht="15" x14ac:dyDescent="0.2">
      <c r="A30" s="84">
        <v>27</v>
      </c>
      <c r="B30" s="102"/>
      <c r="C30" s="102"/>
      <c r="D30" s="105"/>
      <c r="E30" s="105"/>
      <c r="F30" s="105"/>
      <c r="G30" s="105">
        <f t="shared" si="0"/>
        <v>0</v>
      </c>
      <c r="H30" s="26">
        <v>2</v>
      </c>
    </row>
    <row r="31" spans="1:8" s="3" customFormat="1" ht="15" x14ac:dyDescent="0.2">
      <c r="A31" s="124"/>
      <c r="B31" s="124"/>
      <c r="C31" s="124"/>
      <c r="D31" s="137"/>
      <c r="E31" s="137"/>
      <c r="F31" s="137"/>
      <c r="G31" s="137"/>
      <c r="H31" s="124"/>
    </row>
    <row r="32" spans="1:8" ht="15" x14ac:dyDescent="0.2">
      <c r="A32" s="156" t="s">
        <v>85</v>
      </c>
      <c r="B32" s="156"/>
      <c r="C32" s="38">
        <f>COUNT(table8[Number of Fish])</f>
        <v>26</v>
      </c>
      <c r="D32" s="38"/>
      <c r="E32" s="38"/>
      <c r="F32" s="39"/>
      <c r="G32" s="39"/>
      <c r="H32" s="47"/>
    </row>
    <row r="33" spans="1:8" ht="15" x14ac:dyDescent="0.2">
      <c r="A33" s="156" t="s">
        <v>86</v>
      </c>
      <c r="B33" s="156"/>
      <c r="C33" s="38">
        <f>SUM(table8[Number of Fish])</f>
        <v>95</v>
      </c>
      <c r="D33" s="38"/>
      <c r="E33" s="38"/>
      <c r="F33" s="39"/>
      <c r="G33" s="39"/>
      <c r="H33" s="47"/>
    </row>
    <row r="34" spans="1:8" ht="15" x14ac:dyDescent="0.2">
      <c r="A34" s="156" t="s">
        <v>87</v>
      </c>
      <c r="B34" s="156"/>
      <c r="C34" s="39">
        <f>SUM(table8[Total Weight])</f>
        <v>255.95999999999995</v>
      </c>
      <c r="D34" s="38"/>
      <c r="E34" s="39"/>
      <c r="F34" s="39"/>
      <c r="G34" s="39"/>
      <c r="H34" s="46"/>
    </row>
    <row r="35" spans="1:8" ht="15" x14ac:dyDescent="0.2">
      <c r="A35" s="156" t="s">
        <v>88</v>
      </c>
      <c r="B35" s="156"/>
      <c r="C35" s="39">
        <f>C34/C33</f>
        <v>2.6943157894736838</v>
      </c>
      <c r="D35" s="38"/>
      <c r="E35" s="48"/>
      <c r="F35" s="39"/>
      <c r="G35" s="39"/>
      <c r="H35" s="46"/>
    </row>
    <row r="36" spans="1:8" ht="15" x14ac:dyDescent="0.2">
      <c r="A36" s="156" t="s">
        <v>89</v>
      </c>
      <c r="B36" s="156"/>
      <c r="C36" s="38">
        <f>C33/C32</f>
        <v>3.6538461538461537</v>
      </c>
      <c r="D36" s="38"/>
      <c r="E36" s="39"/>
      <c r="F36" s="39"/>
      <c r="G36" s="39"/>
      <c r="H36" s="46"/>
    </row>
  </sheetData>
  <mergeCells count="7">
    <mergeCell ref="A35:B35"/>
    <mergeCell ref="A36:B36"/>
    <mergeCell ref="A1:H1"/>
    <mergeCell ref="A2:H2"/>
    <mergeCell ref="A32:B32"/>
    <mergeCell ref="A33:B33"/>
    <mergeCell ref="A34:B34"/>
  </mergeCells>
  <phoneticPr fontId="0" type="noConversion"/>
  <conditionalFormatting sqref="B4">
    <cfRule type="duplicateValues" dxfId="11" priority="1"/>
  </conditionalFormatting>
  <printOptions horizontalCentered="1" verticalCentered="1" gridLines="1"/>
  <pageMargins left="0.25" right="0.25" top="0.75" bottom="0.75" header="0.3" footer="0.3"/>
  <pageSetup scale="67" orientation="portrait" r:id="rId1"/>
  <headerFooter alignWithMargins="0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NameVal!$A:$A</xm:f>
          </x14:formula1>
          <xm:sqref>B4:B31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Q34"/>
  <sheetViews>
    <sheetView zoomScale="70" zoomScaleNormal="70" workbookViewId="0">
      <pane ySplit="1" topLeftCell="A7" activePane="bottomLeft" state="frozen"/>
      <selection sqref="A1:N1"/>
      <selection pane="bottomLeft" activeCell="A27" sqref="A27:XFD53"/>
    </sheetView>
  </sheetViews>
  <sheetFormatPr defaultColWidth="9.140625" defaultRowHeight="12.75" x14ac:dyDescent="0.2"/>
  <cols>
    <col min="1" max="1" width="4.28515625" style="2" bestFit="1" customWidth="1"/>
    <col min="2" max="2" width="29.5703125" style="75" customWidth="1"/>
    <col min="3" max="3" width="20.42578125" style="2" customWidth="1"/>
    <col min="4" max="4" width="17" style="2" customWidth="1"/>
    <col min="5" max="5" width="19.5703125" style="2" customWidth="1"/>
    <col min="6" max="6" width="11.42578125" style="2" customWidth="1"/>
    <col min="7" max="7" width="14.85546875" style="2" customWidth="1"/>
    <col min="8" max="8" width="19.5703125" style="2" customWidth="1"/>
    <col min="9" max="9" width="16.85546875" style="2" customWidth="1"/>
    <col min="10" max="10" width="18.5703125" style="2" customWidth="1"/>
    <col min="11" max="11" width="13.42578125" style="2" customWidth="1"/>
    <col min="12" max="12" width="16.42578125" style="2" customWidth="1"/>
    <col min="13" max="13" width="19.5703125" style="2" customWidth="1"/>
    <col min="14" max="14" width="18.5703125" style="2" customWidth="1"/>
    <col min="15" max="15" width="14.85546875" style="2" customWidth="1"/>
    <col min="16" max="16" width="18.85546875" style="2" bestFit="1" customWidth="1"/>
    <col min="17" max="16384" width="9.140625" style="2"/>
  </cols>
  <sheetData>
    <row r="1" spans="1:16" ht="33" x14ac:dyDescent="0.45">
      <c r="A1" s="160" t="s">
        <v>128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1"/>
    </row>
    <row r="2" spans="1:16" ht="20.25" x14ac:dyDescent="0.3">
      <c r="A2" s="162" t="s">
        <v>251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1"/>
    </row>
    <row r="3" spans="1:16" ht="18" x14ac:dyDescent="0.2">
      <c r="A3" s="58"/>
      <c r="B3" s="74"/>
      <c r="C3" s="57"/>
      <c r="D3" s="78"/>
      <c r="E3" s="78" t="s">
        <v>217</v>
      </c>
      <c r="F3" s="78"/>
      <c r="G3" s="57"/>
      <c r="H3" s="59"/>
      <c r="I3" s="78"/>
      <c r="J3" s="78" t="s">
        <v>218</v>
      </c>
      <c r="K3" s="78"/>
      <c r="L3" s="78"/>
      <c r="M3" s="164" t="s">
        <v>1</v>
      </c>
      <c r="N3" s="165"/>
      <c r="O3" s="165"/>
      <c r="P3" s="57"/>
    </row>
    <row r="4" spans="1:16" s="3" customFormat="1" x14ac:dyDescent="0.2">
      <c r="A4" s="58"/>
      <c r="B4" s="74" t="s">
        <v>22</v>
      </c>
      <c r="C4" s="57" t="s">
        <v>204</v>
      </c>
      <c r="D4" s="57" t="s">
        <v>174</v>
      </c>
      <c r="E4" s="57" t="s">
        <v>205</v>
      </c>
      <c r="F4" s="57" t="s">
        <v>172</v>
      </c>
      <c r="G4" s="57" t="s">
        <v>206</v>
      </c>
      <c r="H4" s="60" t="s">
        <v>213</v>
      </c>
      <c r="I4" s="57" t="s">
        <v>210</v>
      </c>
      <c r="J4" s="57" t="s">
        <v>211</v>
      </c>
      <c r="K4" s="57" t="s">
        <v>216</v>
      </c>
      <c r="L4" s="57" t="s">
        <v>215</v>
      </c>
      <c r="M4" s="60" t="s">
        <v>214</v>
      </c>
      <c r="N4" s="57" t="s">
        <v>212</v>
      </c>
      <c r="O4" s="57" t="s">
        <v>0</v>
      </c>
      <c r="P4" s="57" t="s">
        <v>25</v>
      </c>
    </row>
    <row r="5" spans="1:16" s="3" customFormat="1" ht="15" x14ac:dyDescent="0.2">
      <c r="A5" s="56">
        <v>1</v>
      </c>
      <c r="B5" s="100" t="s">
        <v>224</v>
      </c>
      <c r="C5" s="52">
        <v>5</v>
      </c>
      <c r="D5" s="51">
        <v>4.2300000000000004</v>
      </c>
      <c r="E5" s="50">
        <v>13.23</v>
      </c>
      <c r="F5" s="51"/>
      <c r="G5" s="50">
        <f t="shared" ref="G5:G27" si="0">SUM(E5-F5)</f>
        <v>13.23</v>
      </c>
      <c r="H5" s="99">
        <v>5</v>
      </c>
      <c r="I5" s="51">
        <v>3.25</v>
      </c>
      <c r="J5" s="50">
        <v>13.16</v>
      </c>
      <c r="K5" s="51"/>
      <c r="L5" s="50">
        <f t="shared" ref="L5:L27" si="1">SUM(J5-K5)</f>
        <v>13.16</v>
      </c>
      <c r="M5" s="61">
        <f t="shared" ref="M5:M27" si="2">MAX(D5,I5)</f>
        <v>4.2300000000000004</v>
      </c>
      <c r="N5" s="52">
        <f t="shared" ref="N5:N27" si="3">SUM(C5+H5)</f>
        <v>10</v>
      </c>
      <c r="O5" s="50">
        <f t="shared" ref="O5:O27" si="4">SUM(G5+L5)</f>
        <v>26.39</v>
      </c>
      <c r="P5" s="62">
        <f t="shared" ref="P5:P27" si="5">IF(N5&gt;0,33-A5,2)</f>
        <v>32</v>
      </c>
    </row>
    <row r="6" spans="1:16" s="3" customFormat="1" ht="14.1" customHeight="1" x14ac:dyDescent="0.2">
      <c r="A6" s="56">
        <v>2</v>
      </c>
      <c r="B6" s="100" t="s">
        <v>100</v>
      </c>
      <c r="C6" s="52">
        <v>5</v>
      </c>
      <c r="D6" s="51">
        <v>3.8</v>
      </c>
      <c r="E6" s="50">
        <v>14.78</v>
      </c>
      <c r="F6" s="51"/>
      <c r="G6" s="50">
        <f t="shared" si="0"/>
        <v>14.78</v>
      </c>
      <c r="H6" s="99">
        <v>5</v>
      </c>
      <c r="I6" s="51"/>
      <c r="J6" s="51">
        <v>8.9700000000000006</v>
      </c>
      <c r="K6" s="51"/>
      <c r="L6" s="50">
        <f t="shared" si="1"/>
        <v>8.9700000000000006</v>
      </c>
      <c r="M6" s="61">
        <f t="shared" si="2"/>
        <v>3.8</v>
      </c>
      <c r="N6" s="52">
        <f t="shared" si="3"/>
        <v>10</v>
      </c>
      <c r="O6" s="50">
        <f t="shared" si="4"/>
        <v>23.75</v>
      </c>
      <c r="P6" s="62">
        <f t="shared" si="5"/>
        <v>31</v>
      </c>
    </row>
    <row r="7" spans="1:16" s="3" customFormat="1" ht="14.1" customHeight="1" x14ac:dyDescent="0.2">
      <c r="A7" s="56">
        <v>3</v>
      </c>
      <c r="B7" s="100" t="s">
        <v>48</v>
      </c>
      <c r="C7" s="52">
        <v>5</v>
      </c>
      <c r="D7" s="51">
        <v>1.86</v>
      </c>
      <c r="E7" s="50">
        <v>7.82</v>
      </c>
      <c r="F7" s="51"/>
      <c r="G7" s="50">
        <f t="shared" si="0"/>
        <v>7.82</v>
      </c>
      <c r="H7" s="99">
        <v>5</v>
      </c>
      <c r="I7" s="51">
        <v>3.79</v>
      </c>
      <c r="J7" s="50">
        <v>14.23</v>
      </c>
      <c r="K7" s="51"/>
      <c r="L7" s="50">
        <f t="shared" si="1"/>
        <v>14.23</v>
      </c>
      <c r="M7" s="61">
        <f t="shared" si="2"/>
        <v>3.79</v>
      </c>
      <c r="N7" s="52">
        <f t="shared" si="3"/>
        <v>10</v>
      </c>
      <c r="O7" s="50">
        <f t="shared" si="4"/>
        <v>22.05</v>
      </c>
      <c r="P7" s="62">
        <f t="shared" si="5"/>
        <v>30</v>
      </c>
    </row>
    <row r="8" spans="1:16" s="3" customFormat="1" ht="14.1" customHeight="1" x14ac:dyDescent="0.2">
      <c r="A8" s="56">
        <v>4</v>
      </c>
      <c r="B8" s="100" t="s">
        <v>84</v>
      </c>
      <c r="C8" s="52">
        <v>5</v>
      </c>
      <c r="D8" s="51">
        <v>3.36</v>
      </c>
      <c r="E8" s="50">
        <v>11.86</v>
      </c>
      <c r="F8" s="51"/>
      <c r="G8" s="50">
        <f t="shared" si="0"/>
        <v>11.86</v>
      </c>
      <c r="H8" s="99">
        <v>4</v>
      </c>
      <c r="I8" s="51">
        <v>2.4900000000000002</v>
      </c>
      <c r="J8" s="50">
        <v>8.65</v>
      </c>
      <c r="K8" s="51"/>
      <c r="L8" s="50">
        <f t="shared" si="1"/>
        <v>8.65</v>
      </c>
      <c r="M8" s="61">
        <f t="shared" si="2"/>
        <v>3.36</v>
      </c>
      <c r="N8" s="52">
        <f t="shared" si="3"/>
        <v>9</v>
      </c>
      <c r="O8" s="50">
        <f t="shared" si="4"/>
        <v>20.509999999999998</v>
      </c>
      <c r="P8" s="62">
        <f t="shared" si="5"/>
        <v>29</v>
      </c>
    </row>
    <row r="9" spans="1:16" s="3" customFormat="1" ht="14.1" customHeight="1" x14ac:dyDescent="0.2">
      <c r="A9" s="56">
        <v>5</v>
      </c>
      <c r="B9" s="100" t="s">
        <v>54</v>
      </c>
      <c r="C9" s="52">
        <v>5</v>
      </c>
      <c r="D9" s="51">
        <v>3.75</v>
      </c>
      <c r="E9" s="50">
        <v>11.86</v>
      </c>
      <c r="F9" s="51"/>
      <c r="G9" s="50">
        <f t="shared" si="0"/>
        <v>11.86</v>
      </c>
      <c r="H9" s="99">
        <v>5</v>
      </c>
      <c r="I9" s="51"/>
      <c r="J9" s="51">
        <v>8.23</v>
      </c>
      <c r="K9" s="51"/>
      <c r="L9" s="50">
        <f t="shared" si="1"/>
        <v>8.23</v>
      </c>
      <c r="M9" s="61">
        <f t="shared" si="2"/>
        <v>3.75</v>
      </c>
      <c r="N9" s="52">
        <f t="shared" si="3"/>
        <v>10</v>
      </c>
      <c r="O9" s="50">
        <f t="shared" si="4"/>
        <v>20.09</v>
      </c>
      <c r="P9" s="62">
        <f t="shared" si="5"/>
        <v>28</v>
      </c>
    </row>
    <row r="10" spans="1:16" ht="14.1" customHeight="1" x14ac:dyDescent="0.2">
      <c r="A10" s="56">
        <v>6</v>
      </c>
      <c r="B10" s="100" t="s">
        <v>67</v>
      </c>
      <c r="C10" s="52">
        <v>5</v>
      </c>
      <c r="D10" s="51">
        <v>3.62</v>
      </c>
      <c r="E10" s="50">
        <v>12.65</v>
      </c>
      <c r="F10" s="51"/>
      <c r="G10" s="50">
        <f t="shared" si="0"/>
        <v>12.65</v>
      </c>
      <c r="H10" s="99">
        <v>4</v>
      </c>
      <c r="I10" s="51">
        <v>2.96</v>
      </c>
      <c r="J10" s="51">
        <v>7.12</v>
      </c>
      <c r="K10" s="51"/>
      <c r="L10" s="50">
        <f t="shared" si="1"/>
        <v>7.12</v>
      </c>
      <c r="M10" s="61">
        <f t="shared" si="2"/>
        <v>3.62</v>
      </c>
      <c r="N10" s="52">
        <f t="shared" si="3"/>
        <v>9</v>
      </c>
      <c r="O10" s="50">
        <f t="shared" si="4"/>
        <v>19.77</v>
      </c>
      <c r="P10" s="62">
        <f t="shared" si="5"/>
        <v>27</v>
      </c>
    </row>
    <row r="11" spans="1:16" ht="14.1" customHeight="1" x14ac:dyDescent="0.2">
      <c r="A11" s="56">
        <v>7</v>
      </c>
      <c r="B11" s="100" t="s">
        <v>232</v>
      </c>
      <c r="C11" s="52">
        <v>5</v>
      </c>
      <c r="D11" s="51">
        <v>3.16</v>
      </c>
      <c r="E11" s="50">
        <v>10.89</v>
      </c>
      <c r="F11" s="51"/>
      <c r="G11" s="50">
        <f t="shared" si="0"/>
        <v>10.89</v>
      </c>
      <c r="H11" s="99">
        <v>5</v>
      </c>
      <c r="I11" s="51">
        <v>2.69</v>
      </c>
      <c r="J11" s="51">
        <v>8.19</v>
      </c>
      <c r="K11" s="51"/>
      <c r="L11" s="50">
        <f t="shared" si="1"/>
        <v>8.19</v>
      </c>
      <c r="M11" s="61">
        <f t="shared" si="2"/>
        <v>3.16</v>
      </c>
      <c r="N11" s="52">
        <f t="shared" si="3"/>
        <v>10</v>
      </c>
      <c r="O11" s="50">
        <f t="shared" si="4"/>
        <v>19.079999999999998</v>
      </c>
      <c r="P11" s="62">
        <f t="shared" si="5"/>
        <v>26</v>
      </c>
    </row>
    <row r="12" spans="1:16" ht="14.1" customHeight="1" x14ac:dyDescent="0.2">
      <c r="A12" s="56">
        <v>8</v>
      </c>
      <c r="B12" s="100" t="s">
        <v>223</v>
      </c>
      <c r="C12" s="52">
        <v>5</v>
      </c>
      <c r="D12" s="51">
        <v>2.64</v>
      </c>
      <c r="E12" s="50">
        <v>9.5399999999999991</v>
      </c>
      <c r="F12" s="51"/>
      <c r="G12" s="50">
        <f t="shared" si="0"/>
        <v>9.5399999999999991</v>
      </c>
      <c r="H12" s="99">
        <v>5</v>
      </c>
      <c r="I12" s="51">
        <v>2.06</v>
      </c>
      <c r="J12" s="50">
        <v>9.5</v>
      </c>
      <c r="K12" s="51"/>
      <c r="L12" s="50">
        <f t="shared" si="1"/>
        <v>9.5</v>
      </c>
      <c r="M12" s="61">
        <f t="shared" si="2"/>
        <v>2.64</v>
      </c>
      <c r="N12" s="52">
        <f t="shared" si="3"/>
        <v>10</v>
      </c>
      <c r="O12" s="50">
        <f t="shared" si="4"/>
        <v>19.04</v>
      </c>
      <c r="P12" s="62">
        <f t="shared" si="5"/>
        <v>25</v>
      </c>
    </row>
    <row r="13" spans="1:16" ht="15" x14ac:dyDescent="0.2">
      <c r="A13" s="56">
        <v>9</v>
      </c>
      <c r="B13" s="100" t="s">
        <v>163</v>
      </c>
      <c r="C13" s="52">
        <v>3</v>
      </c>
      <c r="D13" s="51">
        <v>2.0299999999999998</v>
      </c>
      <c r="E13" s="50">
        <v>5.75</v>
      </c>
      <c r="F13" s="51"/>
      <c r="G13" s="50">
        <f t="shared" si="0"/>
        <v>5.75</v>
      </c>
      <c r="H13" s="99">
        <v>5</v>
      </c>
      <c r="I13" s="51">
        <v>2.54</v>
      </c>
      <c r="J13" s="51">
        <v>11.25</v>
      </c>
      <c r="K13" s="51">
        <v>0.25</v>
      </c>
      <c r="L13" s="50">
        <f t="shared" si="1"/>
        <v>11</v>
      </c>
      <c r="M13" s="61">
        <f t="shared" si="2"/>
        <v>2.54</v>
      </c>
      <c r="N13" s="52">
        <f t="shared" si="3"/>
        <v>8</v>
      </c>
      <c r="O13" s="50">
        <f t="shared" si="4"/>
        <v>16.75</v>
      </c>
      <c r="P13" s="62">
        <f t="shared" si="5"/>
        <v>24</v>
      </c>
    </row>
    <row r="14" spans="1:16" ht="15" x14ac:dyDescent="0.2">
      <c r="A14" s="56">
        <v>10</v>
      </c>
      <c r="B14" s="100" t="s">
        <v>168</v>
      </c>
      <c r="C14" s="52">
        <v>5</v>
      </c>
      <c r="D14" s="51">
        <v>3.48</v>
      </c>
      <c r="E14" s="50">
        <v>11.87</v>
      </c>
      <c r="F14" s="51"/>
      <c r="G14" s="50">
        <f t="shared" si="0"/>
        <v>11.87</v>
      </c>
      <c r="H14" s="99">
        <v>2</v>
      </c>
      <c r="I14" s="51">
        <v>2.66</v>
      </c>
      <c r="J14" s="51">
        <v>3.9</v>
      </c>
      <c r="K14" s="51"/>
      <c r="L14" s="50">
        <f t="shared" si="1"/>
        <v>3.9</v>
      </c>
      <c r="M14" s="61">
        <f t="shared" si="2"/>
        <v>3.48</v>
      </c>
      <c r="N14" s="52">
        <f t="shared" si="3"/>
        <v>7</v>
      </c>
      <c r="O14" s="50">
        <f t="shared" si="4"/>
        <v>15.77</v>
      </c>
      <c r="P14" s="62">
        <f t="shared" si="5"/>
        <v>23</v>
      </c>
    </row>
    <row r="15" spans="1:16" ht="15" x14ac:dyDescent="0.2">
      <c r="A15" s="56">
        <v>11</v>
      </c>
      <c r="B15" s="100" t="s">
        <v>56</v>
      </c>
      <c r="C15" s="52">
        <v>5</v>
      </c>
      <c r="D15" s="51">
        <v>2.8</v>
      </c>
      <c r="E15" s="50">
        <v>10.02</v>
      </c>
      <c r="F15" s="51"/>
      <c r="G15" s="50">
        <f t="shared" si="0"/>
        <v>10.02</v>
      </c>
      <c r="H15" s="99">
        <v>3</v>
      </c>
      <c r="I15" s="51">
        <v>2.56</v>
      </c>
      <c r="J15" s="51">
        <v>5.23</v>
      </c>
      <c r="K15" s="51"/>
      <c r="L15" s="50">
        <f t="shared" si="1"/>
        <v>5.23</v>
      </c>
      <c r="M15" s="61">
        <f t="shared" si="2"/>
        <v>2.8</v>
      </c>
      <c r="N15" s="52">
        <f t="shared" si="3"/>
        <v>8</v>
      </c>
      <c r="O15" s="50">
        <f t="shared" si="4"/>
        <v>15.25</v>
      </c>
      <c r="P15" s="62">
        <f t="shared" si="5"/>
        <v>22</v>
      </c>
    </row>
    <row r="16" spans="1:16" ht="15" x14ac:dyDescent="0.2">
      <c r="A16" s="56">
        <v>12</v>
      </c>
      <c r="B16" s="100" t="s">
        <v>112</v>
      </c>
      <c r="C16" s="52">
        <v>5</v>
      </c>
      <c r="D16" s="51">
        <v>2.82</v>
      </c>
      <c r="E16" s="50">
        <v>6.97</v>
      </c>
      <c r="F16" s="51"/>
      <c r="G16" s="50">
        <f t="shared" si="0"/>
        <v>6.97</v>
      </c>
      <c r="H16" s="99">
        <v>5</v>
      </c>
      <c r="I16" s="51">
        <v>2.38</v>
      </c>
      <c r="J16" s="51">
        <v>7.77</v>
      </c>
      <c r="K16" s="51"/>
      <c r="L16" s="50">
        <f t="shared" si="1"/>
        <v>7.77</v>
      </c>
      <c r="M16" s="61">
        <f t="shared" si="2"/>
        <v>2.82</v>
      </c>
      <c r="N16" s="52">
        <f t="shared" si="3"/>
        <v>10</v>
      </c>
      <c r="O16" s="50">
        <f t="shared" si="4"/>
        <v>14.739999999999998</v>
      </c>
      <c r="P16" s="62">
        <f t="shared" si="5"/>
        <v>21</v>
      </c>
    </row>
    <row r="17" spans="1:17" ht="15" x14ac:dyDescent="0.2">
      <c r="A17" s="56">
        <v>13</v>
      </c>
      <c r="B17" s="100" t="s">
        <v>75</v>
      </c>
      <c r="C17" s="52">
        <v>5</v>
      </c>
      <c r="D17" s="51">
        <v>3.75</v>
      </c>
      <c r="E17" s="50">
        <v>10.039999999999999</v>
      </c>
      <c r="F17" s="51"/>
      <c r="G17" s="50">
        <f t="shared" si="0"/>
        <v>10.039999999999999</v>
      </c>
      <c r="H17" s="99">
        <v>1</v>
      </c>
      <c r="I17" s="51">
        <v>1.43</v>
      </c>
      <c r="J17" s="51">
        <v>1.43</v>
      </c>
      <c r="K17" s="51"/>
      <c r="L17" s="50">
        <f t="shared" si="1"/>
        <v>1.43</v>
      </c>
      <c r="M17" s="61">
        <f t="shared" si="2"/>
        <v>3.75</v>
      </c>
      <c r="N17" s="52">
        <f t="shared" si="3"/>
        <v>6</v>
      </c>
      <c r="O17" s="50">
        <f t="shared" si="4"/>
        <v>11.469999999999999</v>
      </c>
      <c r="P17" s="62">
        <f t="shared" si="5"/>
        <v>20</v>
      </c>
    </row>
    <row r="18" spans="1:17" ht="15" x14ac:dyDescent="0.2">
      <c r="A18" s="56">
        <v>14</v>
      </c>
      <c r="B18" s="100" t="s">
        <v>33</v>
      </c>
      <c r="C18" s="52">
        <v>5</v>
      </c>
      <c r="D18" s="51">
        <v>1.91</v>
      </c>
      <c r="E18" s="50">
        <v>7.86</v>
      </c>
      <c r="F18" s="51"/>
      <c r="G18" s="50">
        <f t="shared" si="0"/>
        <v>7.86</v>
      </c>
      <c r="H18" s="99">
        <v>3</v>
      </c>
      <c r="I18" s="51"/>
      <c r="J18" s="51">
        <v>3.55</v>
      </c>
      <c r="K18" s="51"/>
      <c r="L18" s="50">
        <f t="shared" si="1"/>
        <v>3.55</v>
      </c>
      <c r="M18" s="61">
        <f t="shared" si="2"/>
        <v>1.91</v>
      </c>
      <c r="N18" s="52">
        <f t="shared" si="3"/>
        <v>8</v>
      </c>
      <c r="O18" s="50">
        <f t="shared" si="4"/>
        <v>11.41</v>
      </c>
      <c r="P18" s="62">
        <f t="shared" si="5"/>
        <v>19</v>
      </c>
    </row>
    <row r="19" spans="1:17" ht="15" x14ac:dyDescent="0.2">
      <c r="A19" s="56">
        <v>15</v>
      </c>
      <c r="B19" s="100" t="s">
        <v>229</v>
      </c>
      <c r="C19" s="52">
        <v>1</v>
      </c>
      <c r="D19" s="51"/>
      <c r="E19" s="50">
        <v>3.73</v>
      </c>
      <c r="F19" s="51"/>
      <c r="G19" s="50">
        <f t="shared" si="0"/>
        <v>3.73</v>
      </c>
      <c r="H19" s="99">
        <v>4</v>
      </c>
      <c r="I19" s="51"/>
      <c r="J19" s="51">
        <v>6.13</v>
      </c>
      <c r="K19" s="51"/>
      <c r="L19" s="50">
        <f t="shared" si="1"/>
        <v>6.13</v>
      </c>
      <c r="M19" s="61">
        <f t="shared" si="2"/>
        <v>0</v>
      </c>
      <c r="N19" s="52">
        <f t="shared" si="3"/>
        <v>5</v>
      </c>
      <c r="O19" s="50">
        <f t="shared" si="4"/>
        <v>9.86</v>
      </c>
      <c r="P19" s="62">
        <f t="shared" si="5"/>
        <v>18</v>
      </c>
    </row>
    <row r="20" spans="1:17" ht="15" x14ac:dyDescent="0.2">
      <c r="A20" s="56">
        <v>16</v>
      </c>
      <c r="B20" s="100" t="s">
        <v>59</v>
      </c>
      <c r="C20" s="52">
        <v>3</v>
      </c>
      <c r="D20" s="51">
        <v>2.2999999999999998</v>
      </c>
      <c r="E20" s="50">
        <v>5.05</v>
      </c>
      <c r="F20" s="51">
        <v>0.25</v>
      </c>
      <c r="G20" s="50">
        <f t="shared" si="0"/>
        <v>4.8</v>
      </c>
      <c r="H20" s="99">
        <v>2</v>
      </c>
      <c r="I20" s="51">
        <v>2.76</v>
      </c>
      <c r="J20" s="51">
        <v>4.8600000000000003</v>
      </c>
      <c r="K20" s="51"/>
      <c r="L20" s="50">
        <f t="shared" si="1"/>
        <v>4.8600000000000003</v>
      </c>
      <c r="M20" s="61">
        <f t="shared" si="2"/>
        <v>2.76</v>
      </c>
      <c r="N20" s="52">
        <f t="shared" si="3"/>
        <v>5</v>
      </c>
      <c r="O20" s="50">
        <f t="shared" si="4"/>
        <v>9.66</v>
      </c>
      <c r="P20" s="62">
        <f t="shared" si="5"/>
        <v>17</v>
      </c>
    </row>
    <row r="21" spans="1:17" ht="15" x14ac:dyDescent="0.2">
      <c r="A21" s="56">
        <v>17</v>
      </c>
      <c r="B21" s="100" t="s">
        <v>31</v>
      </c>
      <c r="C21" s="52">
        <v>1</v>
      </c>
      <c r="D21" s="51"/>
      <c r="E21" s="50">
        <v>1.19</v>
      </c>
      <c r="F21" s="51"/>
      <c r="G21" s="50">
        <f t="shared" si="0"/>
        <v>1.19</v>
      </c>
      <c r="H21" s="99">
        <v>5</v>
      </c>
      <c r="I21" s="51">
        <v>2.59</v>
      </c>
      <c r="J21" s="51">
        <v>8.4700000000000006</v>
      </c>
      <c r="K21" s="51"/>
      <c r="L21" s="50">
        <f t="shared" si="1"/>
        <v>8.4700000000000006</v>
      </c>
      <c r="M21" s="61">
        <f t="shared" si="2"/>
        <v>2.59</v>
      </c>
      <c r="N21" s="52">
        <f t="shared" si="3"/>
        <v>6</v>
      </c>
      <c r="O21" s="50">
        <f t="shared" si="4"/>
        <v>9.66</v>
      </c>
      <c r="P21" s="62">
        <f t="shared" si="5"/>
        <v>16</v>
      </c>
    </row>
    <row r="22" spans="1:17" ht="15" x14ac:dyDescent="0.2">
      <c r="A22" s="56">
        <v>18</v>
      </c>
      <c r="B22" s="100" t="s">
        <v>170</v>
      </c>
      <c r="C22" s="52">
        <v>0</v>
      </c>
      <c r="D22" s="51"/>
      <c r="E22" s="50">
        <v>0</v>
      </c>
      <c r="F22" s="51"/>
      <c r="G22" s="50">
        <f t="shared" si="0"/>
        <v>0</v>
      </c>
      <c r="H22" s="99">
        <v>5</v>
      </c>
      <c r="I22" s="51">
        <v>2.8</v>
      </c>
      <c r="J22" s="51">
        <v>9.3800000000000008</v>
      </c>
      <c r="K22" s="51"/>
      <c r="L22" s="50">
        <f t="shared" si="1"/>
        <v>9.3800000000000008</v>
      </c>
      <c r="M22" s="61">
        <f t="shared" si="2"/>
        <v>2.8</v>
      </c>
      <c r="N22" s="52">
        <f t="shared" si="3"/>
        <v>5</v>
      </c>
      <c r="O22" s="50">
        <f t="shared" si="4"/>
        <v>9.3800000000000008</v>
      </c>
      <c r="P22" s="62">
        <f t="shared" si="5"/>
        <v>15</v>
      </c>
    </row>
    <row r="23" spans="1:17" ht="15" x14ac:dyDescent="0.2">
      <c r="A23" s="56">
        <v>19</v>
      </c>
      <c r="B23" s="100" t="s">
        <v>180</v>
      </c>
      <c r="C23" s="52">
        <v>3</v>
      </c>
      <c r="D23" s="51">
        <v>1.87</v>
      </c>
      <c r="E23" s="50">
        <v>3.99</v>
      </c>
      <c r="F23" s="51">
        <v>0.25</v>
      </c>
      <c r="G23" s="50">
        <f t="shared" si="0"/>
        <v>3.74</v>
      </c>
      <c r="H23" s="99">
        <v>2</v>
      </c>
      <c r="I23" s="51">
        <v>1.54</v>
      </c>
      <c r="J23" s="51">
        <v>2.58</v>
      </c>
      <c r="K23" s="51"/>
      <c r="L23" s="50">
        <f t="shared" si="1"/>
        <v>2.58</v>
      </c>
      <c r="M23" s="61">
        <f t="shared" si="2"/>
        <v>1.87</v>
      </c>
      <c r="N23" s="52">
        <f t="shared" si="3"/>
        <v>5</v>
      </c>
      <c r="O23" s="50">
        <f t="shared" si="4"/>
        <v>6.32</v>
      </c>
      <c r="P23" s="62">
        <f t="shared" si="5"/>
        <v>14</v>
      </c>
    </row>
    <row r="24" spans="1:17" ht="15" x14ac:dyDescent="0.2">
      <c r="A24" s="56">
        <v>20</v>
      </c>
      <c r="B24" s="100" t="s">
        <v>221</v>
      </c>
      <c r="C24" s="52">
        <v>2</v>
      </c>
      <c r="D24" s="51"/>
      <c r="E24" s="50">
        <v>2.92</v>
      </c>
      <c r="F24" s="51"/>
      <c r="G24" s="50">
        <f t="shared" si="0"/>
        <v>2.92</v>
      </c>
      <c r="H24" s="99">
        <v>1</v>
      </c>
      <c r="I24" s="51">
        <v>1.53</v>
      </c>
      <c r="J24" s="51">
        <v>1.53</v>
      </c>
      <c r="K24" s="51"/>
      <c r="L24" s="50">
        <f t="shared" si="1"/>
        <v>1.53</v>
      </c>
      <c r="M24" s="61">
        <f t="shared" si="2"/>
        <v>1.53</v>
      </c>
      <c r="N24" s="52">
        <f t="shared" si="3"/>
        <v>3</v>
      </c>
      <c r="O24" s="50">
        <f t="shared" si="4"/>
        <v>4.45</v>
      </c>
      <c r="P24" s="62">
        <f t="shared" si="5"/>
        <v>13</v>
      </c>
    </row>
    <row r="25" spans="1:17" ht="15" x14ac:dyDescent="0.2">
      <c r="A25" s="56">
        <v>21</v>
      </c>
      <c r="B25" s="100" t="s">
        <v>157</v>
      </c>
      <c r="C25" s="52">
        <v>0</v>
      </c>
      <c r="D25" s="51"/>
      <c r="E25" s="50">
        <v>0</v>
      </c>
      <c r="F25" s="51"/>
      <c r="G25" s="50">
        <f t="shared" si="0"/>
        <v>0</v>
      </c>
      <c r="H25" s="99">
        <v>2</v>
      </c>
      <c r="I25" s="51">
        <v>1.94</v>
      </c>
      <c r="J25" s="51">
        <v>3.39</v>
      </c>
      <c r="K25" s="51"/>
      <c r="L25" s="50">
        <f t="shared" si="1"/>
        <v>3.39</v>
      </c>
      <c r="M25" s="61">
        <f t="shared" si="2"/>
        <v>1.94</v>
      </c>
      <c r="N25" s="52">
        <f t="shared" si="3"/>
        <v>2</v>
      </c>
      <c r="O25" s="50">
        <f t="shared" si="4"/>
        <v>3.39</v>
      </c>
      <c r="P25" s="62">
        <f t="shared" si="5"/>
        <v>12</v>
      </c>
    </row>
    <row r="26" spans="1:17" ht="15" x14ac:dyDescent="0.2">
      <c r="A26" s="56">
        <v>22</v>
      </c>
      <c r="B26" s="100"/>
      <c r="C26" s="52"/>
      <c r="D26" s="51"/>
      <c r="E26" s="50"/>
      <c r="F26" s="51"/>
      <c r="G26" s="50">
        <f t="shared" si="0"/>
        <v>0</v>
      </c>
      <c r="H26" s="99"/>
      <c r="I26" s="51"/>
      <c r="J26" s="51"/>
      <c r="K26" s="51"/>
      <c r="L26" s="50">
        <f t="shared" si="1"/>
        <v>0</v>
      </c>
      <c r="M26" s="61">
        <f t="shared" si="2"/>
        <v>0</v>
      </c>
      <c r="N26" s="52">
        <f t="shared" si="3"/>
        <v>0</v>
      </c>
      <c r="O26" s="50">
        <f t="shared" si="4"/>
        <v>0</v>
      </c>
      <c r="P26" s="62">
        <f t="shared" si="5"/>
        <v>2</v>
      </c>
    </row>
    <row r="27" spans="1:17" ht="15" x14ac:dyDescent="0.2">
      <c r="A27" s="56">
        <v>50</v>
      </c>
      <c r="B27" s="129"/>
      <c r="C27" s="130"/>
      <c r="D27" s="131"/>
      <c r="E27" s="132"/>
      <c r="F27" s="131"/>
      <c r="G27" s="132">
        <f t="shared" si="0"/>
        <v>0</v>
      </c>
      <c r="H27" s="133"/>
      <c r="I27" s="131"/>
      <c r="J27" s="131"/>
      <c r="K27" s="131"/>
      <c r="L27" s="132">
        <f t="shared" si="1"/>
        <v>0</v>
      </c>
      <c r="M27" s="134">
        <f t="shared" si="2"/>
        <v>0</v>
      </c>
      <c r="N27" s="130">
        <f t="shared" si="3"/>
        <v>0</v>
      </c>
      <c r="O27" s="132">
        <f t="shared" si="4"/>
        <v>0</v>
      </c>
      <c r="P27" s="138">
        <f t="shared" si="5"/>
        <v>2</v>
      </c>
    </row>
    <row r="28" spans="1:17" ht="15" x14ac:dyDescent="0.2">
      <c r="A28" s="56"/>
      <c r="B28" s="100"/>
      <c r="C28" s="52"/>
      <c r="D28" s="51"/>
      <c r="E28" s="50"/>
      <c r="F28" s="51"/>
      <c r="G28" s="50"/>
      <c r="H28" s="52"/>
      <c r="I28" s="51"/>
      <c r="J28" s="51"/>
      <c r="K28" s="51"/>
      <c r="L28" s="50"/>
      <c r="M28" s="50"/>
      <c r="N28" s="52"/>
      <c r="O28" s="50"/>
      <c r="P28" s="51"/>
    </row>
    <row r="29" spans="1:17" s="76" customFormat="1" ht="15.75" x14ac:dyDescent="0.2">
      <c r="A29" s="79"/>
      <c r="B29" s="2"/>
      <c r="C29" s="33"/>
      <c r="D29" s="34"/>
      <c r="E29" s="34"/>
      <c r="F29" s="34"/>
      <c r="G29" s="35"/>
      <c r="H29" s="33"/>
      <c r="I29" s="34"/>
      <c r="J29" s="34"/>
      <c r="K29" s="34"/>
      <c r="L29" s="35"/>
      <c r="M29" s="33"/>
      <c r="N29" s="36"/>
      <c r="O29" s="37"/>
      <c r="P29" s="80"/>
      <c r="Q29" s="77"/>
    </row>
    <row r="30" spans="1:17" s="76" customFormat="1" ht="33.75" customHeight="1" x14ac:dyDescent="0.25">
      <c r="A30" s="159" t="s">
        <v>85</v>
      </c>
      <c r="B30" s="159"/>
      <c r="C30" s="109">
        <f>COUNT(table9[Number of Fish])</f>
        <v>21</v>
      </c>
      <c r="D30" s="109"/>
      <c r="E30" s="109"/>
      <c r="F30" s="109"/>
      <c r="G30" s="110"/>
      <c r="H30" s="109">
        <f>COUNT(table9[Number of Fish2])</f>
        <v>21</v>
      </c>
      <c r="I30" s="109"/>
      <c r="J30" s="109"/>
      <c r="K30" s="109"/>
      <c r="L30" s="110"/>
      <c r="M30" s="110"/>
      <c r="N30" s="109">
        <f>SUM(table9[FISH COUNT])</f>
        <v>156</v>
      </c>
      <c r="O30" s="63"/>
      <c r="P30" s="64"/>
    </row>
    <row r="31" spans="1:17" s="76" customFormat="1" ht="15.75" x14ac:dyDescent="0.25">
      <c r="A31" s="166" t="s">
        <v>86</v>
      </c>
      <c r="B31" s="166"/>
      <c r="C31" s="109">
        <f>SUM(table9[Number of Fish])</f>
        <v>78</v>
      </c>
      <c r="D31" s="111"/>
      <c r="E31" s="111"/>
      <c r="F31" s="111"/>
      <c r="G31" s="110"/>
      <c r="H31" s="109">
        <f>SUM(table9[Number of Fish2])</f>
        <v>78</v>
      </c>
      <c r="I31" s="111"/>
      <c r="J31" s="111"/>
      <c r="K31" s="111"/>
      <c r="L31" s="110"/>
      <c r="M31" s="110"/>
      <c r="N31" s="111">
        <f>SUM(table9[FISH COUNT])</f>
        <v>156</v>
      </c>
      <c r="O31" s="63"/>
      <c r="P31" s="64"/>
    </row>
    <row r="32" spans="1:17" s="76" customFormat="1" ht="15.75" x14ac:dyDescent="0.25">
      <c r="A32" s="159" t="s">
        <v>87</v>
      </c>
      <c r="B32" s="159"/>
      <c r="C32" s="112">
        <f>SUM(table9[Total Weight])</f>
        <v>162.02000000000001</v>
      </c>
      <c r="D32" s="112"/>
      <c r="E32" s="112"/>
      <c r="F32" s="112"/>
      <c r="G32" s="110"/>
      <c r="H32" s="112">
        <f>SUM(table9[Total Weight2])</f>
        <v>147.52000000000001</v>
      </c>
      <c r="I32" s="112"/>
      <c r="J32" s="112"/>
      <c r="K32" s="112"/>
      <c r="L32" s="110"/>
      <c r="M32" s="110"/>
      <c r="N32" s="112">
        <f>SUM(table9[WEIGHT])</f>
        <v>308.79000000000002</v>
      </c>
      <c r="O32" s="63"/>
      <c r="P32" s="64"/>
    </row>
    <row r="33" spans="1:16" ht="15.75" x14ac:dyDescent="0.25">
      <c r="A33" s="159" t="s">
        <v>88</v>
      </c>
      <c r="B33" s="159"/>
      <c r="C33" s="112">
        <f>C32/C31</f>
        <v>2.0771794871794875</v>
      </c>
      <c r="D33" s="112"/>
      <c r="E33" s="112"/>
      <c r="F33" s="112"/>
      <c r="G33" s="113"/>
      <c r="H33" s="112">
        <f>H32/H31</f>
        <v>1.8912820512820514</v>
      </c>
      <c r="I33" s="112"/>
      <c r="J33" s="112"/>
      <c r="K33" s="112"/>
      <c r="L33" s="113"/>
      <c r="M33" s="113"/>
      <c r="N33" s="112">
        <f>N32/N31</f>
        <v>1.979423076923077</v>
      </c>
      <c r="O33" s="63"/>
      <c r="P33" s="64"/>
    </row>
    <row r="34" spans="1:16" ht="15.75" x14ac:dyDescent="0.25">
      <c r="A34" s="159" t="s">
        <v>89</v>
      </c>
      <c r="B34" s="159"/>
      <c r="C34" s="112">
        <f>C31/C30</f>
        <v>3.7142857142857144</v>
      </c>
      <c r="D34" s="112"/>
      <c r="E34" s="112"/>
      <c r="F34" s="112"/>
      <c r="G34" s="113"/>
      <c r="H34" s="112">
        <f>H31/H30</f>
        <v>3.7142857142857144</v>
      </c>
      <c r="I34" s="112"/>
      <c r="J34" s="112"/>
      <c r="K34" s="112"/>
      <c r="L34" s="113"/>
      <c r="M34" s="113"/>
      <c r="N34" s="112">
        <f>N31/N30</f>
        <v>1</v>
      </c>
      <c r="O34" s="63"/>
      <c r="P34" s="64"/>
    </row>
  </sheetData>
  <mergeCells count="8">
    <mergeCell ref="A33:B33"/>
    <mergeCell ref="A34:B34"/>
    <mergeCell ref="A1:P1"/>
    <mergeCell ref="A2:P2"/>
    <mergeCell ref="M3:O3"/>
    <mergeCell ref="A30:B30"/>
    <mergeCell ref="A31:B31"/>
    <mergeCell ref="A32:B32"/>
  </mergeCells>
  <printOptions horizontalCentered="1" verticalCentered="1"/>
  <pageMargins left="0.25" right="0.25" top="0.25" bottom="0.25" header="0.3" footer="0.3"/>
  <pageSetup scale="48" orientation="landscape" r:id="rId1"/>
  <headerFooter alignWithMargins="0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NameVal!$A:$A</xm:f>
          </x14:formula1>
          <xm:sqref>B5:B27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12</vt:i4>
      </vt:variant>
    </vt:vector>
  </HeadingPairs>
  <TitlesOfParts>
    <vt:vector size="30" baseType="lpstr">
      <vt:lpstr>Otay 1</vt:lpstr>
      <vt:lpstr>Lake Mohave</vt:lpstr>
      <vt:lpstr>Otay 2</vt:lpstr>
      <vt:lpstr>Havasu</vt:lpstr>
      <vt:lpstr>El Cap (6 hour)</vt:lpstr>
      <vt:lpstr>San V Night</vt:lpstr>
      <vt:lpstr>El Cap Night</vt:lpstr>
      <vt:lpstr>El Cap (6 hour) 2</vt:lpstr>
      <vt:lpstr>LCR</vt:lpstr>
      <vt:lpstr>San V</vt:lpstr>
      <vt:lpstr>TOC</vt:lpstr>
      <vt:lpstr>YTD</vt:lpstr>
      <vt:lpstr>Names</vt:lpstr>
      <vt:lpstr>Sheet1</vt:lpstr>
      <vt:lpstr>NameVal</vt:lpstr>
      <vt:lpstr>Big Fish</vt:lpstr>
      <vt:lpstr>Single Day Template</vt:lpstr>
      <vt:lpstr>Two Day Template</vt:lpstr>
      <vt:lpstr>'El Cap (6 hour)'!Print_Area</vt:lpstr>
      <vt:lpstr>'El Cap Night'!Print_Area</vt:lpstr>
      <vt:lpstr>Havasu!Print_Area</vt:lpstr>
      <vt:lpstr>'Lake Mohave'!Print_Area</vt:lpstr>
      <vt:lpstr>LCR!Print_Area</vt:lpstr>
      <vt:lpstr>'Otay 1'!Print_Area</vt:lpstr>
      <vt:lpstr>'Otay 2'!Print_Area</vt:lpstr>
      <vt:lpstr>'San V'!Print_Area</vt:lpstr>
      <vt:lpstr>'San V Night'!Print_Area</vt:lpstr>
      <vt:lpstr>'Single Day Template'!Print_Area</vt:lpstr>
      <vt:lpstr>'Two Day Template'!Print_Area</vt:lpstr>
      <vt:lpstr>YTD!Print_Area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Carpenter</dc:creator>
  <cp:lastModifiedBy>Jeff Carpenter</cp:lastModifiedBy>
  <cp:lastPrinted>2021-11-11T19:43:41Z</cp:lastPrinted>
  <dcterms:created xsi:type="dcterms:W3CDTF">2001-12-11T06:55:26Z</dcterms:created>
  <dcterms:modified xsi:type="dcterms:W3CDTF">2021-11-11T19:43:49Z</dcterms:modified>
</cp:coreProperties>
</file>